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460" windowHeight="5955" tabRatio="867" activeTab="6"/>
  </bookViews>
  <sheets>
    <sheet name="Instructions" sheetId="1" r:id="rId1"/>
    <sheet name="Team Information Input" sheetId="2" r:id="rId2"/>
    <sheet name="Judged Area Analysis" sheetId="3" r:id="rId3"/>
    <sheet name="Robot Performance Analysis" sheetId="4" r:id="rId4"/>
    <sheet name="Valid Award Codes" sheetId="5" r:id="rId5"/>
    <sheet name="Condensed Awards Script" sheetId="6" r:id="rId6"/>
    <sheet name="Expanded Awards Script" sheetId="7" r:id="rId7"/>
    <sheet name="World Class Advancement Policy" sheetId="8" r:id="rId8"/>
    <sheet name="Notes" sheetId="9" r:id="rId9"/>
    <sheet name="Revisions" sheetId="10" r:id="rId10"/>
    <sheet name="Sample Data for Testing" sheetId="11" r:id="rId11"/>
    <sheet name="Setup" sheetId="12" r:id="rId12"/>
  </sheets>
  <definedNames>
    <definedName name="_xlnm._FilterDatabase" localSheetId="1" hidden="1">'Team Information Input'!$A$1:$G$114</definedName>
    <definedName name="_xlfn.IFERROR" hidden="1">#NAME?</definedName>
    <definedName name="_xlnm.Print_Area" localSheetId="5">'Condensed Awards Script'!$B:$F</definedName>
    <definedName name="_xlnm.Print_Area" localSheetId="6">'Expanded Awards Script'!$B:$F</definedName>
    <definedName name="_xlnm.Print_Area" localSheetId="2">'Judged Area Analysis'!$B$1:$U$121</definedName>
    <definedName name="_xlnm.Print_Area" localSheetId="3">'Robot Performance Analysis'!$B$6:$G$119</definedName>
    <definedName name="_xlnm.Print_Area" localSheetId="4">'Valid Award Codes'!$B$3:$G$39</definedName>
    <definedName name="_xlnm.Print_Titles" localSheetId="2">'Judged Area Analysis'!$8:$8</definedName>
    <definedName name="_xlnm.Print_Titles" localSheetId="3">'Robot Performance Analysis'!$B:$B,'Robot Performance Analysis'!$6:$6</definedName>
  </definedNames>
  <calcPr fullCalcOnLoad="1"/>
</workbook>
</file>

<file path=xl/sharedStrings.xml><?xml version="1.0" encoding="utf-8"?>
<sst xmlns="http://schemas.openxmlformats.org/spreadsheetml/2006/main" count="959" uniqueCount="486">
  <si>
    <t>TEAM #</t>
  </si>
  <si>
    <t>TEAM NAME</t>
  </si>
  <si>
    <t>ROBOT DESIGN RANKING</t>
  </si>
  <si>
    <t>ROBOT PERFORMANCE RANKING</t>
  </si>
  <si>
    <t>HIGHEST SCORE</t>
  </si>
  <si>
    <t>PROJECT RANKING</t>
  </si>
  <si>
    <t>CORE VALUES RANKING</t>
  </si>
  <si>
    <t>Round 1</t>
  </si>
  <si>
    <t>Round 2</t>
  </si>
  <si>
    <t>Round 3</t>
  </si>
  <si>
    <t>ROBOT PERFORMANCE</t>
  </si>
  <si>
    <t>%</t>
  </si>
  <si>
    <t>Entered</t>
  </si>
  <si>
    <t>SUM OF JUDGED RANKINGS</t>
  </si>
  <si>
    <t>Minimum advancement percentage</t>
  </si>
  <si>
    <t>Rookie</t>
  </si>
  <si>
    <t>Entered by Judge Advisor
Provided by FIRST in official guidance</t>
  </si>
  <si>
    <t>Enter number of teams advancing to the 
next tournament</t>
  </si>
  <si>
    <t>Percentage of teams advancing to the 
next tournament</t>
  </si>
  <si>
    <t>CHAMPION'S AWARD</t>
  </si>
  <si>
    <t>Robot performance hurdle for Champion's Award and Advancement</t>
  </si>
  <si>
    <t>LOWEST SCORE</t>
  </si>
  <si>
    <t>MIDDLE SCORE</t>
  </si>
  <si>
    <t>RANK</t>
  </si>
  <si>
    <t>Performance Hurdle</t>
  </si>
  <si>
    <t>COMPOSITE SCORE</t>
  </si>
  <si>
    <t>OVERALL RANKING
(Judged Only)</t>
  </si>
  <si>
    <t>Team Number</t>
  </si>
  <si>
    <t>Team Name</t>
  </si>
  <si>
    <t>Alien Cow Abductors</t>
  </si>
  <si>
    <t>Team007</t>
  </si>
  <si>
    <t>Team RUSH</t>
  </si>
  <si>
    <t>Red Devils</t>
  </si>
  <si>
    <t>Birds Of Prey</t>
  </si>
  <si>
    <t>GRT</t>
  </si>
  <si>
    <t>Eastern Robotic Vikings</t>
  </si>
  <si>
    <t>More RoboDawgs</t>
  </si>
  <si>
    <t>ThunderChickens</t>
  </si>
  <si>
    <t>Organization</t>
  </si>
  <si>
    <t>STANDARD DEVIATION</t>
  </si>
  <si>
    <t>3 JUDGED AREAS</t>
  </si>
  <si>
    <t>Advance</t>
  </si>
  <si>
    <t>Alternate/Wildcard</t>
  </si>
  <si>
    <t>NOTES / ROOKIE TEAM</t>
  </si>
  <si>
    <t>ADVANCEMENT / NOTES</t>
  </si>
  <si>
    <t>Rookie/Notes</t>
  </si>
  <si>
    <t>Pit #</t>
  </si>
  <si>
    <r>
      <t xml:space="preserve">Calculated
This value is used in the
</t>
    </r>
    <r>
      <rPr>
        <b/>
        <i/>
        <sz val="12"/>
        <rFont val="Arial"/>
        <family val="2"/>
      </rPr>
      <t>Judged Area Analysis Worksheet</t>
    </r>
  </si>
  <si>
    <t>321LEGO!</t>
  </si>
  <si>
    <t>OPTIONAL AWARDS</t>
  </si>
  <si>
    <t>AWARD</t>
  </si>
  <si>
    <t>CONDENSED AWARDS</t>
  </si>
  <si>
    <t>Outstanding Volunteer</t>
  </si>
  <si>
    <t>CH</t>
  </si>
  <si>
    <t>RD</t>
  </si>
  <si>
    <t>PR</t>
  </si>
  <si>
    <t>CV</t>
  </si>
  <si>
    <t>Champions Award</t>
  </si>
  <si>
    <t>Robot Design Award</t>
  </si>
  <si>
    <t>Project Award</t>
  </si>
  <si>
    <t>Core Values Award</t>
  </si>
  <si>
    <t>IN</t>
  </si>
  <si>
    <t>Inspiration Award</t>
  </si>
  <si>
    <t>TW</t>
  </si>
  <si>
    <t>Teamwork Award</t>
  </si>
  <si>
    <t>GP</t>
  </si>
  <si>
    <t>MD</t>
  </si>
  <si>
    <t>PG</t>
  </si>
  <si>
    <t>Programming Award</t>
  </si>
  <si>
    <t>Mechanical Design Award</t>
  </si>
  <si>
    <t>Gracious Professionalism  Award</t>
  </si>
  <si>
    <t>SI</t>
  </si>
  <si>
    <t>Strategy and Innovation</t>
  </si>
  <si>
    <t>R</t>
  </si>
  <si>
    <t>Research Award</t>
  </si>
  <si>
    <t>IS</t>
  </si>
  <si>
    <t>Innovative Solution Award</t>
  </si>
  <si>
    <t>P</t>
  </si>
  <si>
    <t>Presentation Award</t>
  </si>
  <si>
    <t>YM</t>
  </si>
  <si>
    <t>AM</t>
  </si>
  <si>
    <t>OV</t>
  </si>
  <si>
    <t>CH1</t>
  </si>
  <si>
    <t>CH2</t>
  </si>
  <si>
    <t>CH3</t>
  </si>
  <si>
    <t>RD1</t>
  </si>
  <si>
    <t>RD2</t>
  </si>
  <si>
    <t>RD3</t>
  </si>
  <si>
    <t>PR1</t>
  </si>
  <si>
    <t>PR2</t>
  </si>
  <si>
    <t>PR3</t>
  </si>
  <si>
    <t>CV1</t>
  </si>
  <si>
    <t>CV2</t>
  </si>
  <si>
    <t>CV3</t>
  </si>
  <si>
    <t>J1</t>
  </si>
  <si>
    <t>J2</t>
  </si>
  <si>
    <t>J3</t>
  </si>
  <si>
    <t>1st Place Champions Award</t>
  </si>
  <si>
    <t>1st Place Robot Design Award</t>
  </si>
  <si>
    <t>1st Place Project Award</t>
  </si>
  <si>
    <t>1st Place Core Values Award</t>
  </si>
  <si>
    <t>2nd Place Champions Award</t>
  </si>
  <si>
    <t>3rd Place Champions Award</t>
  </si>
  <si>
    <t>2nd Place Robot Design Award</t>
  </si>
  <si>
    <t>2nd Place Project Award</t>
  </si>
  <si>
    <t>2nd Place Core Values Award</t>
  </si>
  <si>
    <t>2nd Place Judges Award</t>
  </si>
  <si>
    <t>1st Place Judges Award</t>
  </si>
  <si>
    <t>Rookie Team Award</t>
  </si>
  <si>
    <t>Adult Coach/Mentor Award</t>
  </si>
  <si>
    <t>Youth Mentor Award</t>
  </si>
  <si>
    <t>3rd Place Robot Design Award</t>
  </si>
  <si>
    <t>3rd Place Project Award</t>
  </si>
  <si>
    <t>3rd Place Core Values Award</t>
  </si>
  <si>
    <t>3rd Place Judges Award</t>
  </si>
  <si>
    <t>AWARD CODE</t>
  </si>
  <si>
    <t>RK</t>
  </si>
  <si>
    <t>AWARDS TITLE
(Auto Fills When Code Is Entered)</t>
  </si>
  <si>
    <t>Awarded To</t>
  </si>
  <si>
    <t>From</t>
  </si>
  <si>
    <t>RP1</t>
  </si>
  <si>
    <t>RP2</t>
  </si>
  <si>
    <t>RP3</t>
  </si>
  <si>
    <t>Robot Performance Award</t>
  </si>
  <si>
    <t>1st Place Robot Performance Award</t>
  </si>
  <si>
    <t>2nd Place Robot Performance Award</t>
  </si>
  <si>
    <t>3rd Place Robot Performance Award</t>
  </si>
  <si>
    <t>Awarded To
Team</t>
  </si>
  <si>
    <t>Organization, City, Etc.</t>
  </si>
  <si>
    <t>The recipient of the Robot Design Award is:</t>
  </si>
  <si>
    <t>The recipient of the Project Award is:</t>
  </si>
  <si>
    <t>The recipient of the Core Values Award is:</t>
  </si>
  <si>
    <t>Outstanding Volunteer Award</t>
  </si>
  <si>
    <t>The recipient of the Adult Coach/Mentor Award is:</t>
  </si>
  <si>
    <t>The recipient of the Youth Mentor Award is:</t>
  </si>
  <si>
    <t>The recipient of the Champions Award is:</t>
  </si>
  <si>
    <t>During the course of competition the judges may encounter teams whose unique efforts, performance or dynamics merit recognition. Some teams have a story that sets them apart in a noteworthy way. Sometimes a team is so close to winning an award that the judges choose to give special recognition to the team. Judges Awards allow the freedom to recognize remarkable teams that stand out for reasons other than the Core Award categories.</t>
  </si>
  <si>
    <t>Advancement To Championship Event (State Tournament)</t>
  </si>
  <si>
    <t>The following teams are invited to attend the championship tournament:</t>
  </si>
  <si>
    <t>Many teams reach significant milestones thanks to their close relationship with an adult mentor. This award goes to the coach or mentor whose wisdom, guidance, and devotion are most clearly evident in the team’s discussion with the judges.</t>
  </si>
  <si>
    <t>FLL presents this award to the young adult, high school or college mentor whose support, impact, inspiration, and guidance are most clearly evident in the team’s discussion with the judges.</t>
  </si>
  <si>
    <t>Invitations to advance to the state tournament uses the FLL Champion's Award criteria which is based on overall performance in the three judged areas (Robot Design, Project and Core Values).
Additionally, the teams must perform well in the Robot Peformance category.</t>
  </si>
  <si>
    <t>ADV1</t>
  </si>
  <si>
    <t>ADV2</t>
  </si>
  <si>
    <t>ADV3</t>
  </si>
  <si>
    <t>ADV4</t>
  </si>
  <si>
    <t>ADV5</t>
  </si>
  <si>
    <t>ADV6</t>
  </si>
  <si>
    <t>ADV7</t>
  </si>
  <si>
    <t>ADVANCMENT TO CHAMPIONSHIP</t>
  </si>
  <si>
    <t>Advancing Team 1</t>
  </si>
  <si>
    <t>Advancing Team 2</t>
  </si>
  <si>
    <t>Advancing Team 3</t>
  </si>
  <si>
    <t>Advancing Team 4</t>
  </si>
  <si>
    <t>Advancing Team 5</t>
  </si>
  <si>
    <t>Advancing Team 6</t>
  </si>
  <si>
    <t>Advancing Team 7</t>
  </si>
  <si>
    <t>ADV CODE</t>
  </si>
  <si>
    <t>ALT1</t>
  </si>
  <si>
    <t>ALT2</t>
  </si>
  <si>
    <t>Alternate Team 1</t>
  </si>
  <si>
    <t>Alternate Team 2</t>
  </si>
  <si>
    <t>The following teams will be ALTERNATES for championship tournament:</t>
  </si>
  <si>
    <t>NOTES</t>
  </si>
  <si>
    <t>Valid Award Codes</t>
  </si>
  <si>
    <t>Valid Advancment Codes</t>
  </si>
  <si>
    <t>From/Name</t>
  </si>
  <si>
    <t>I Volunteer 2Much</t>
  </si>
  <si>
    <t>Awesome Coach</t>
  </si>
  <si>
    <t>Best Youth Mentor Ever</t>
  </si>
  <si>
    <t>AWARD TITLE</t>
  </si>
  <si>
    <t>J4</t>
  </si>
  <si>
    <t>J5</t>
  </si>
  <si>
    <t>(1st Place) Judges Award</t>
  </si>
  <si>
    <t>(3rd Place) Judges Award</t>
  </si>
  <si>
    <t>The recipient of the (3rd Place) Judges Award is:</t>
  </si>
  <si>
    <t>(2nd Place) Judges Award</t>
  </si>
  <si>
    <t>The recipient of the (2nd Place) Judges Award is:</t>
  </si>
  <si>
    <t>The recipient of the (1st Place) Judges Award is:</t>
  </si>
  <si>
    <t>For the Robot Design category, judges look for teams whose work stands out for innovation, mechanical design, programming, and understanding of the design process and overall qualify. The judges watch the robots work and look for things that make them say “Wow!” They interview team members to reveal their less obvious unique and inventive ideas; to assess mechanical deign, understanding of the design process and overall quality the judges consider what solid principles and best practices were used to reduce variability and errors, with preference to robots that are best able to “back it up” throughout the matches. The judges also review the teams programming strategies, efficiency and effectiveness. This award goes to the team with the strongest Robot Design.</t>
  </si>
  <si>
    <t xml:space="preserve">The purpose of the FLL project is to show that individuals can make a difference by researching a problem, then contributing ideas and solutions to real-world issues. Your conclusions and solutions are the result of working hard to truly understand the magnitude of a problem through research and hands-on learning experiences. During your project planning, you used your teamwork abilities and talents to put together information, create a solution, and help others understand how your ideas could work. 
</t>
  </si>
  <si>
    <t xml:space="preserve">Sometimes we measure success by a number only, but in this case, number one represents hours of strategizing and improving team members’ mechanical and programming expertise. This award goes to the team whose overall package of robot design, programming, strategy, and teamwork helped it to achieve the competition goal of acquiring more points than any other team. </t>
  </si>
  <si>
    <t>FIRST LEGO League Medals</t>
  </si>
  <si>
    <t xml:space="preserve">Coaches, mentors, and kids dedicate at least eight weeks, to embracing science and technology as accessible, fun, and rewarding. This experience makes a difference in communities, schools, families, and individuals. Team members learn and share, astounding those around them with new information and revelations as they learn how to contribute to the world. 
As FLL veterans, team members can intelligently discuss concepts that many other people find difficult and intimidating. They also know how to share and develop ideas as part of a small, hardworking, closely-knit team. The process that got them to this point defines each one of them as an FLL champion and winner, and this ribbon recognizes and celebrates this achievement. 
</t>
  </si>
  <si>
    <t>Call up the teams, one a time to get their medals.</t>
  </si>
  <si>
    <t xml:space="preserve">The phenomenal success of the FIRST LEGO League program is a reflection of the commitment and enthusiasm our volunteers display. This annual award gives FIRST LEGO League the opportunity to honor the dedication of one or more volunteers whose assistance and devotion has helped to change the lives of children for the future.  </t>
  </si>
  <si>
    <t>No one exemplifies that dedication better than:</t>
  </si>
  <si>
    <t xml:space="preserve">Teamwork is critical to succeed in FIRST LEGO League and is the key ingredient in any team’s success. This award is presented to the team whose members best demonstrate extraordinary enthusiasm and spirit, exceptional partnership, the utmost respect for their own teammates, and support and encouragement of fellow teams. They demonstrated confidence, energy, strong problem solving skills, and great group dynamics. </t>
  </si>
  <si>
    <t xml:space="preserve">The FLL experience is more than building robots or attending competitions. Teams win other awards for being best in a particular award category. This most prestigious award goes to the team who, in the big picture, is the strongest in all of the categories combined. The Champion’s Award winner is the total package: the embodiment of the FIRST LEGO League vision. 
This award celebrates the ultimate success of the FIRST mission and FLL Values. It measures how the children inspire others about the accessibility and excitement of science, technology, and engineering while demonstrating respect, encouragement, and continued gracious professionalism. The winning team is given the honor of serving as a valued role model for FIRST and the FIRST LEGO League Program.
</t>
  </si>
  <si>
    <t>The following teams are invited to attend the championship event (State Tournament):</t>
  </si>
  <si>
    <t>The following teams will be ALTERNATES for championship event (State Tournament):</t>
  </si>
  <si>
    <t>The recipient of the 3rd Place Robot Performance Award is:</t>
  </si>
  <si>
    <t>The recipient of the 2nd Place Robot Performance Award is:</t>
  </si>
  <si>
    <t>Robot Design Awards</t>
  </si>
  <si>
    <t>The recipient of the 3rd Place Robot Design Award is:</t>
  </si>
  <si>
    <t>Strategy and Innovation Award</t>
  </si>
  <si>
    <t>The recipient of the Mechanical Design Award is:</t>
  </si>
  <si>
    <t>The recipient of the Programming Award  is:</t>
  </si>
  <si>
    <t>The recipient of the Strategy and Innovation Award is:</t>
  </si>
  <si>
    <t>The recipient of the 2nd Place Robot Design Award is:</t>
  </si>
  <si>
    <t>1st Place Robot Design  Award</t>
  </si>
  <si>
    <t>The recipient of the 1st Place Robot Design Award is:</t>
  </si>
  <si>
    <t>The recipient of the Presentation Award is:</t>
  </si>
  <si>
    <t>The recipient of the Innovative Solution Award is:</t>
  </si>
  <si>
    <t>The recipient of the Inspiration Award is:</t>
  </si>
  <si>
    <t>The recipient of the Resarch Award is:</t>
  </si>
  <si>
    <t>The recipient of the 3rd Place Project Award is:</t>
  </si>
  <si>
    <t>The recipient of the 2nd Place Project Award is:</t>
  </si>
  <si>
    <t>1st Place Project  Award</t>
  </si>
  <si>
    <t>The recipient of the 1st Place Project Award is:</t>
  </si>
  <si>
    <t>Core Values Awards</t>
  </si>
  <si>
    <t>Gracious Professionalism Award</t>
  </si>
  <si>
    <t>The recipient of the Gracious Professionalism Award is:</t>
  </si>
  <si>
    <t>The recipient of the Teamwork Award is:</t>
  </si>
  <si>
    <t>The recipient of the 3rd Place Core Values Award is:</t>
  </si>
  <si>
    <t>The recipient of the 2nd Place Core Values Award is:</t>
  </si>
  <si>
    <t>The recipient of the 1st Place Core Values Award is:</t>
  </si>
  <si>
    <t>(5th Place) Judges Award</t>
  </si>
  <si>
    <t>The recipient of the (5th Place) Judges Award is:</t>
  </si>
  <si>
    <t>(4th Place) Judges Award</t>
  </si>
  <si>
    <t>The recipient of the (4th Place) Judges Award is:</t>
  </si>
  <si>
    <t>The recipient of the 3rd Place Champions Award is:</t>
  </si>
  <si>
    <t>The recipient of the 2nd Place Champions Award is:</t>
  </si>
  <si>
    <t>The recipient of the 1st Place Champions Award is:</t>
  </si>
  <si>
    <t>Judges Awards</t>
  </si>
  <si>
    <t>Champions Awards</t>
  </si>
  <si>
    <t>Robot Performance Awards</t>
  </si>
  <si>
    <t>4th Place Judges Award</t>
  </si>
  <si>
    <t>5th Place Judges Award</t>
  </si>
  <si>
    <t>Top %</t>
  </si>
  <si>
    <t>Low Robot Performance</t>
  </si>
  <si>
    <r>
      <rPr>
        <b/>
        <sz val="9.5"/>
        <rFont val="Arial"/>
        <family val="2"/>
      </rPr>
      <t>Example Advancement Codes:</t>
    </r>
    <r>
      <rPr>
        <sz val="9.5"/>
        <rFont val="Arial"/>
        <family val="2"/>
      </rPr>
      <t xml:space="preserve">
ADV1 = Advancement
ADV2 = Advancement
ADV3 = Advancement
ADV4 = Advancement
ALT1 = Alternate/Wildcard
ALT2 = Alternate/Wildcard
</t>
    </r>
  </si>
  <si>
    <r>
      <rPr>
        <b/>
        <sz val="10"/>
        <rFont val="Arial"/>
        <family val="2"/>
      </rPr>
      <t>Example Condensed Award Codes:</t>
    </r>
    <r>
      <rPr>
        <sz val="10"/>
        <rFont val="Arial"/>
        <family val="2"/>
      </rPr>
      <t xml:space="preserve">
CH = Champions Award
RD = Robot Design Award
CV = Core Values Award
</t>
    </r>
    <r>
      <rPr>
        <b/>
        <sz val="10"/>
        <rFont val="Arial"/>
        <family val="2"/>
      </rPr>
      <t>Example Expanded Award Codes:</t>
    </r>
    <r>
      <rPr>
        <sz val="10"/>
        <rFont val="Arial"/>
        <family val="2"/>
      </rPr>
      <t xml:space="preserve">
RD1 = 1st Place Robot Design Award
IN  = Inspiration Award 
</t>
    </r>
  </si>
  <si>
    <t>(Expanded Award)</t>
  </si>
  <si>
    <t>(Condensed Award)</t>
  </si>
  <si>
    <t>(Expanded and Condensed)</t>
  </si>
  <si>
    <t>The Juggernauts</t>
  </si>
  <si>
    <t>Team 4 ELEMENT</t>
  </si>
  <si>
    <t>The Vikings</t>
  </si>
  <si>
    <t>MORT</t>
  </si>
  <si>
    <t>Bomb Squad</t>
  </si>
  <si>
    <t>The Rocketeers</t>
  </si>
  <si>
    <t>ComBBAT</t>
  </si>
  <si>
    <t>PNTA</t>
  </si>
  <si>
    <t>Raider Robotix</t>
  </si>
  <si>
    <t>Pierson Whalers</t>
  </si>
  <si>
    <t>Prime Movers</t>
  </si>
  <si>
    <t>Killer Bees</t>
  </si>
  <si>
    <t>Rockets</t>
  </si>
  <si>
    <t>RoboWarriors</t>
  </si>
  <si>
    <t>TechnoKats Robotics Team</t>
  </si>
  <si>
    <t>Delphi E.L.I.T.E.</t>
  </si>
  <si>
    <t>Wings of Fire</t>
  </si>
  <si>
    <t>ROBBE XTREME</t>
  </si>
  <si>
    <t>Leopards</t>
  </si>
  <si>
    <t>The Riot Crew</t>
  </si>
  <si>
    <t>Ramtech</t>
  </si>
  <si>
    <t>Bionic Bulldogs</t>
  </si>
  <si>
    <t>BVT FIRST Robotics</t>
  </si>
  <si>
    <t>The Red Barons</t>
  </si>
  <si>
    <t>The Flyers</t>
  </si>
  <si>
    <t>The HOT Team</t>
  </si>
  <si>
    <t>T3</t>
  </si>
  <si>
    <t>HYPER</t>
  </si>
  <si>
    <t>More Martians</t>
  </si>
  <si>
    <t>Team Hammond</t>
  </si>
  <si>
    <t>The Visioneers</t>
  </si>
  <si>
    <t>Team C.H.A.O.S.</t>
  </si>
  <si>
    <t>RoboRaiders</t>
  </si>
  <si>
    <t>AIR Strike</t>
  </si>
  <si>
    <t>Team Krunch</t>
  </si>
  <si>
    <t>MetalHeads</t>
  </si>
  <si>
    <t>B.O.B. (Built on Brains)</t>
  </si>
  <si>
    <t>Team Resistance</t>
  </si>
  <si>
    <t>TJ(Squared)</t>
  </si>
  <si>
    <t>N.E.W. Apple Corps Robotics</t>
  </si>
  <si>
    <t>The  Technojays</t>
  </si>
  <si>
    <t>Grasshoppers</t>
  </si>
  <si>
    <t>Bionic Beef</t>
  </si>
  <si>
    <t>The WildHats</t>
  </si>
  <si>
    <t>Striker</t>
  </si>
  <si>
    <t>The Gearheads</t>
  </si>
  <si>
    <t>Cybersonics</t>
  </si>
  <si>
    <t>Team R.O.B.O.T.I.C.S.</t>
  </si>
  <si>
    <t>SigmaC@T</t>
  </si>
  <si>
    <t>WildStang</t>
  </si>
  <si>
    <t>Eagle Strike</t>
  </si>
  <si>
    <t>MVRT</t>
  </si>
  <si>
    <t>Epsilon Delta</t>
  </si>
  <si>
    <t>The Steel Dragons</t>
  </si>
  <si>
    <t>Robonauts</t>
  </si>
  <si>
    <t>Scarabian Knights</t>
  </si>
  <si>
    <t>Rhode Warriors</t>
  </si>
  <si>
    <t>NASA Knights</t>
  </si>
  <si>
    <t>Team - Cosmos</t>
  </si>
  <si>
    <t>NUTRONS</t>
  </si>
  <si>
    <t>Gael Force</t>
  </si>
  <si>
    <t>The Botcats</t>
  </si>
  <si>
    <t>C.H.A.O.S.</t>
  </si>
  <si>
    <t>B.E.R.T</t>
  </si>
  <si>
    <t>Team Discovery</t>
  </si>
  <si>
    <t>The Black Knights</t>
  </si>
  <si>
    <t>Killer Kardinals</t>
  </si>
  <si>
    <t>Entropy</t>
  </si>
  <si>
    <t>WO-BOT</t>
  </si>
  <si>
    <t>The R.O.C.K</t>
  </si>
  <si>
    <t>T-Rx</t>
  </si>
  <si>
    <t>Robowranglers</t>
  </si>
  <si>
    <t>Tough Techs</t>
  </si>
  <si>
    <t>The Technonuts</t>
  </si>
  <si>
    <t>RPM</t>
  </si>
  <si>
    <t>AZTECHS 157</t>
  </si>
  <si>
    <t>Alpine Robotics</t>
  </si>
  <si>
    <t>Chop Shop</t>
  </si>
  <si>
    <t>Children of the Corn</t>
  </si>
  <si>
    <t>Mechanical Investigation Bureau</t>
  </si>
  <si>
    <t>Cheese Curd Herd</t>
  </si>
  <si>
    <t>Northern Force</t>
  </si>
  <si>
    <t>R.A.G.E. (Robotics &amp; Gadget Engineering)</t>
  </si>
  <si>
    <t>Arctic Warriors</t>
  </si>
  <si>
    <t>Buzz Robotics</t>
  </si>
  <si>
    <t>Aces High</t>
  </si>
  <si>
    <t>Bobcat Robotics</t>
  </si>
  <si>
    <t>The 2nd Law Enforcers</t>
  </si>
  <si>
    <t>The Children of the Swamp</t>
  </si>
  <si>
    <t>S.P.A.M.</t>
  </si>
  <si>
    <t>Blizzard</t>
  </si>
  <si>
    <t>Gompei and the H.E.R.D.</t>
  </si>
  <si>
    <t>X-CATS</t>
  </si>
  <si>
    <t>Cyber Knights</t>
  </si>
  <si>
    <t>The FEDS</t>
  </si>
  <si>
    <t>One TUFF Team (Team United for FIRST)</t>
  </si>
  <si>
    <t>METALCRAFTERS</t>
  </si>
  <si>
    <t>The Dirty Birds</t>
  </si>
  <si>
    <t>Team Impact</t>
  </si>
  <si>
    <t>Tigertrons</t>
  </si>
  <si>
    <t xml:space="preserve"> Oakland Schools Technical Campus Northeast High School</t>
  </si>
  <si>
    <t xml:space="preserve"> HighTech-Los Angeles</t>
  </si>
  <si>
    <t xml:space="preserve"> Parkville High School and Center for Mathematics, Science, and Computer Science</t>
  </si>
  <si>
    <t xml:space="preserve"> Palo Alto High School</t>
  </si>
  <si>
    <t xml:space="preserve"> Mt. Olive Robotics Team</t>
  </si>
  <si>
    <t xml:space="preserve"> Mountain Home Public Schools</t>
  </si>
  <si>
    <t xml:space="preserve"> Shenendehowa High School</t>
  </si>
  <si>
    <t xml:space="preserve"> Titusville High School</t>
  </si>
  <si>
    <t xml:space="preserve"> Plymouth North High School</t>
  </si>
  <si>
    <t xml:space="preserve"> Raider Robotix Parent Mentors</t>
  </si>
  <si>
    <t xml:space="preserve"> CSMTech Academy Clarkston High School</t>
  </si>
  <si>
    <t>Pierson High School</t>
  </si>
  <si>
    <t xml:space="preserve"> Jenks High School</t>
  </si>
  <si>
    <t xml:space="preserve"> Notre Dame Preparatory School</t>
  </si>
  <si>
    <t xml:space="preserve"> Limestone County Career Technical Center</t>
  </si>
  <si>
    <t>Watchung Hills Regional High School</t>
  </si>
  <si>
    <t xml:space="preserve"> Kokomo Center School Corporation High School</t>
  </si>
  <si>
    <t xml:space="preserve"> Warren G. Harding High School</t>
  </si>
  <si>
    <t xml:space="preserve"> Pontiac High School</t>
  </si>
  <si>
    <t xml:space="preserve"> Eleanor Roosevelt High School</t>
  </si>
  <si>
    <t xml:space="preserve"> Bound Brook High School</t>
  </si>
  <si>
    <t xml:space="preserve"> High School for Engineering Professions</t>
  </si>
  <si>
    <t xml:space="preserve"> South Portland High School</t>
  </si>
  <si>
    <t xml:space="preserve"> Miami Coral Park Sr.</t>
  </si>
  <si>
    <t xml:space="preserve"> Kingman Academy of Learning High School</t>
  </si>
  <si>
    <t xml:space="preserve"> Blackstone Valley Regional Vocational Technical High School</t>
  </si>
  <si>
    <t xml:space="preserve"> McDowell High School</t>
  </si>
  <si>
    <t xml:space="preserve"> Willow Run High School</t>
  </si>
  <si>
    <t xml:space="preserve"> Huron Valley Schools</t>
  </si>
  <si>
    <t xml:space="preserve"> Holly High School</t>
  </si>
  <si>
    <t xml:space="preserve"> Quincy Public Schools</t>
  </si>
  <si>
    <t xml:space="preserve"> Goodrich High School</t>
  </si>
  <si>
    <t xml:space="preserve"> School City of Hammond</t>
  </si>
  <si>
    <t xml:space="preserve"> Rochester STEM High School</t>
  </si>
  <si>
    <t xml:space="preserve"> Holland High School</t>
  </si>
  <si>
    <t xml:space="preserve"> Hillsborough High School</t>
  </si>
  <si>
    <t xml:space="preserve"> Aquidneck Island Robotics 4-H Club</t>
  </si>
  <si>
    <t xml:space="preserve"> East Lake High School</t>
  </si>
  <si>
    <t xml:space="preserve"> Freeport School District 145</t>
  </si>
  <si>
    <t xml:space="preserve"> Zeeland East High School</t>
  </si>
  <si>
    <t xml:space="preserve"> Stanton College Preparatory School</t>
  </si>
  <si>
    <t xml:space="preserve"> Rancocas Valley Regional High School</t>
  </si>
  <si>
    <t xml:space="preserve"> Bridgewater Raynam Regional High School</t>
  </si>
  <si>
    <t xml:space="preserve"> Appleton Area School District</t>
  </si>
  <si>
    <t xml:space="preserve"> Southfield High School</t>
  </si>
  <si>
    <t xml:space="preserve"> Lebanon High School</t>
  </si>
  <si>
    <t xml:space="preserve"> Cambridge Rindge and Latin High School</t>
  </si>
  <si>
    <t xml:space="preserve"> Sequoia Union High School District</t>
  </si>
  <si>
    <t xml:space="preserve"> Saint Patrick High School</t>
  </si>
  <si>
    <t xml:space="preserve"> Somerville High School</t>
  </si>
  <si>
    <t xml:space="preserve"> Palisades High School</t>
  </si>
  <si>
    <t xml:space="preserve"> Rose Park Christian School</t>
  </si>
  <si>
    <t xml:space="preserve"> Broward County Public Schools</t>
  </si>
  <si>
    <t xml:space="preserve"> Prospect High School</t>
  </si>
  <si>
    <t xml:space="preserve"> Los Altos High School</t>
  </si>
  <si>
    <t xml:space="preserve"> Monta Vista High School</t>
  </si>
  <si>
    <t xml:space="preserve"> Herndon High School</t>
  </si>
  <si>
    <t xml:space="preserve"> Taylor Allderdice High School</t>
  </si>
  <si>
    <t xml:space="preserve"> Clear Creek ISD</t>
  </si>
  <si>
    <t xml:space="preserve"> East Technical High School</t>
  </si>
  <si>
    <t xml:space="preserve"> Tiverton High School</t>
  </si>
  <si>
    <t xml:space="preserve"> New Horizons Regional Education Center High School</t>
  </si>
  <si>
    <t xml:space="preserve"> Hamtramck High School</t>
  </si>
  <si>
    <t xml:space="preserve"> Revere High School</t>
  </si>
  <si>
    <t xml:space="preserve"> Clinton High School</t>
  </si>
  <si>
    <t xml:space="preserve"> Grandview Heights High School</t>
  </si>
  <si>
    <t xml:space="preserve"> Central High School</t>
  </si>
  <si>
    <t xml:space="preserve"> Bonny Eagle High School</t>
  </si>
  <si>
    <t xml:space="preserve"> Pembroke Academy</t>
  </si>
  <si>
    <t xml:space="preserve"> Penn High School</t>
  </si>
  <si>
    <t>Plainfield High</t>
  </si>
  <si>
    <t xml:space="preserve"> Souhegan High School</t>
  </si>
  <si>
    <t xml:space="preserve"> West Ottawa High School</t>
  </si>
  <si>
    <t xml:space="preserve"> Nothwest High School</t>
  </si>
  <si>
    <t xml:space="preserve"> Unadilla Valley High School</t>
  </si>
  <si>
    <t xml:space="preserve"> Greenville High School</t>
  </si>
  <si>
    <t xml:space="preserve"> Nashua Technology Center @ the Nashua High Schools</t>
  </si>
  <si>
    <t xml:space="preserve"> Berlin High School</t>
  </si>
  <si>
    <t xml:space="preserve"> Fairview High School</t>
  </si>
  <si>
    <t xml:space="preserve"> Assabet Valley Regional Technical HS</t>
  </si>
  <si>
    <t xml:space="preserve"> Poudre High School</t>
  </si>
  <si>
    <t xml:space="preserve"> Merrimack High School</t>
  </si>
  <si>
    <t xml:space="preserve"> City High School</t>
  </si>
  <si>
    <t xml:space="preserve"> North Miami Beach Senior High</t>
  </si>
  <si>
    <t xml:space="preserve"> Area Schools</t>
  </si>
  <si>
    <t xml:space="preserve"> Gorham High School</t>
  </si>
  <si>
    <t xml:space="preserve"> Connecticut International Baccalaureate Academy</t>
  </si>
  <si>
    <t xml:space="preserve"> Liverpool High School</t>
  </si>
  <si>
    <t xml:space="preserve"> Enrico Fermi High School</t>
  </si>
  <si>
    <t xml:space="preserve"> Suffield High School</t>
  </si>
  <si>
    <t xml:space="preserve"> South Windsor High School</t>
  </si>
  <si>
    <t xml:space="preserve"> Farmington High School</t>
  </si>
  <si>
    <t xml:space="preserve"> Inlet Grove High School</t>
  </si>
  <si>
    <t xml:space="preserve"> Clark Advanced Learning Center (High School)</t>
  </si>
  <si>
    <t xml:space="preserve"> Hartford Public Schools</t>
  </si>
  <si>
    <t xml:space="preserve"> Woburn Collegiate Institute</t>
  </si>
  <si>
    <t xml:space="preserve"> Massachusetts Academy of Math and Science</t>
  </si>
  <si>
    <t xml:space="preserve"> J. C. Wilson Commencement Academy</t>
  </si>
  <si>
    <t xml:space="preserve"> Gunn High School</t>
  </si>
  <si>
    <t xml:space="preserve"> Southington High School</t>
  </si>
  <si>
    <t xml:space="preserve"> Rochester High School</t>
  </si>
  <si>
    <t xml:space="preserve"> Camden County Technical  School</t>
  </si>
  <si>
    <t xml:space="preserve"> Eastern Camden County Regional High Schools</t>
  </si>
  <si>
    <t xml:space="preserve"> Centinela Valley Union High School District</t>
  </si>
  <si>
    <t>Keene High First Robotics Club</t>
  </si>
  <si>
    <t>Grandville High School</t>
  </si>
  <si>
    <t xml:space="preserve"> Utica Community Schools</t>
  </si>
  <si>
    <t>Warren Hills Regional High School</t>
  </si>
  <si>
    <t xml:space="preserve"> Tunkhannock Area High School</t>
  </si>
  <si>
    <t>Percentage of Teams Getting Judged Awards</t>
  </si>
  <si>
    <t>Notes</t>
  </si>
  <si>
    <t>AWARDS TITLE</t>
  </si>
  <si>
    <t xml:space="preserve">Coaches, mentors, and kids dedicate at least eight weeks, to embracing science and technology as accessible, fun, and rewarding. This experience makes a difference in communities, schools, families, and individuals. Team members learn and share, astounding those around them with new information and revelations as they learn how to contribute to the world. 
As FLL veterans, team members can intelligently discuss concepts that many other people find difficult and intimidating. They also know how to share and develop ideas as part of a small, hardworking, closely-knit team. The process that got them to this point defines each one of them as an FLL champion and winner, and this ribbon recognizes and celebrates this achievement. 
</t>
  </si>
  <si>
    <t>The Teamwork Award goes to the team with a clear strategy for working together for a common goal while learning how to manage goals, responsibilities and decision making.</t>
  </si>
  <si>
    <t>The Insiration Award goes to the team which excels in getting teams and others around them excited about science and technology while also gaining awareness and understanding of the world and themselves.</t>
  </si>
  <si>
    <t>The Mechanical Design Award recognizes a team that designs and develops a mechanically sound robot that is durable, efficient and highly capable of performing challenge missions.</t>
  </si>
  <si>
    <t>This Programming Award recognizes a team that utilizes outstanding programming principles, including clear, concise and reusable code that allows their robot to perform missions autonomously and consistently</t>
  </si>
  <si>
    <t>The Strategy and Innovation Award recognizes a team that uses solid engineering practices and a well‐developed strategy to design and build an innovative, high performing robot</t>
  </si>
  <si>
    <t>The Research Award recognizes the team that utilizes diverse resources to formulate an in‐depth and comprehensive understanding of the problem they have identified.</t>
  </si>
  <si>
    <t>The Innovative Solution Award recognizes a team’s solution that is exceptionally well‐considered and creative, with good potential to solve the problem researched.</t>
  </si>
  <si>
    <t>The Presentation Award recognizes a team that effectively communicates the problem they have identified and their proposed solution to both the judges and other potential supporters.</t>
  </si>
  <si>
    <t>The Gracious Professionalism Award recognizes a team whose members show each other and other teams respect at all times. They recognize that both friendly competition and mutual gain are possible, on and off the playing field.</t>
  </si>
  <si>
    <t>Overcoming Adversity Award</t>
  </si>
  <si>
    <t xml:space="preserve">The Overcoming Adversity Award goes to the team that improvises and overcomes a difficult situation while still making a respectable showing, with an attitude that shows, “We can overcome incredible odds if we never give up, no matter what!”.
</t>
  </si>
  <si>
    <t>The recipient of the Overcoming Adversity Award is:</t>
  </si>
  <si>
    <t>Rising Star Award</t>
  </si>
  <si>
    <t>The recipient of the Rising Star Award is:</t>
  </si>
  <si>
    <t>OA</t>
  </si>
  <si>
    <t>RS</t>
  </si>
  <si>
    <t>Condensed Awards</t>
  </si>
  <si>
    <t>Expanded Awards</t>
  </si>
  <si>
    <t>Non-Judged Award</t>
  </si>
  <si>
    <t>Outstanding Volunteer Award (Optional)</t>
  </si>
  <si>
    <t>Adult Coach/Mentor Award (Optional)</t>
  </si>
  <si>
    <t>Youth Mentor Award (Optional)</t>
  </si>
  <si>
    <t>Overcoming Adversity Award (Optional)</t>
  </si>
  <si>
    <t>Rising Star Award (Optional)</t>
  </si>
  <si>
    <t>(3rd Place) Judges Award (Optional)</t>
  </si>
  <si>
    <t>(2nd Place) Judges Award (Optional)</t>
  </si>
  <si>
    <t>(1st Place) Judges Award (Optional)</t>
  </si>
  <si>
    <t>FLL CONDENSED AWARD STRUCTURE</t>
  </si>
  <si>
    <t>FLL  EXPANDED AWARD STRUCTURE</t>
  </si>
  <si>
    <t>FLL OPTIONAL AWARDS</t>
  </si>
  <si>
    <t>This award recognizes a team that the judges notice and expect great things from in the future.</t>
  </si>
  <si>
    <t>EXPANDED AWARDS</t>
  </si>
  <si>
    <t>Advancement %</t>
  </si>
  <si>
    <t>Hurdle %</t>
  </si>
  <si>
    <r>
      <t xml:space="preserve">Enter number of teams competing in
</t>
    </r>
    <r>
      <rPr>
        <u val="single"/>
        <sz val="12"/>
        <rFont val="Arial"/>
        <family val="2"/>
      </rPr>
      <t>this</t>
    </r>
    <r>
      <rPr>
        <sz val="12"/>
        <rFont val="Arial"/>
        <family val="2"/>
      </rPr>
      <t xml:space="preserve"> tournament</t>
    </r>
  </si>
  <si>
    <t>Rounded Advancement %</t>
  </si>
  <si>
    <t>Practice Round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</si>
</sst>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409]dddd\,\ mmmm\ dd\,\ yyyy"/>
    <numFmt numFmtId="168" formatCode="[$-409]h:mm:ss\ AM/PM"/>
    <numFmt numFmtId="169" formatCode="0.0"/>
    <numFmt numFmtId="170" formatCode="0.00000%"/>
    <numFmt numFmtId="171" formatCode="0.000000%"/>
    <numFmt numFmtId="172" formatCode="0.0000000%"/>
    <numFmt numFmtId="173" formatCode="0.00000000%"/>
  </numFmts>
  <fonts count="80">
    <font>
      <sz val="10"/>
      <name val="Arial"/>
      <family val="0"/>
    </font>
    <font>
      <sz val="11"/>
      <color indexed="8"/>
      <name val="Calibri"/>
      <family val="2"/>
    </font>
    <font>
      <b/>
      <sz val="10"/>
      <name val="Arial"/>
      <family val="2"/>
    </font>
    <font>
      <sz val="12"/>
      <name val="Arial"/>
      <family val="2"/>
    </font>
    <font>
      <sz val="18"/>
      <name val="Arial"/>
      <family val="2"/>
    </font>
    <font>
      <sz val="9"/>
      <name val="Arial"/>
      <family val="2"/>
    </font>
    <font>
      <b/>
      <i/>
      <sz val="12"/>
      <name val="Arial"/>
      <family val="2"/>
    </font>
    <font>
      <sz val="14"/>
      <name val="Arial"/>
      <family val="2"/>
    </font>
    <font>
      <b/>
      <sz val="14"/>
      <name val="Arial"/>
      <family val="2"/>
    </font>
    <font>
      <b/>
      <sz val="16"/>
      <name val="Arial"/>
      <family val="2"/>
    </font>
    <font>
      <i/>
      <sz val="14"/>
      <name val="Arial"/>
      <family val="2"/>
    </font>
    <font>
      <b/>
      <i/>
      <sz val="14"/>
      <name val="Arial"/>
      <family val="2"/>
    </font>
    <font>
      <b/>
      <sz val="9.5"/>
      <name val="Arial"/>
      <family val="2"/>
    </font>
    <font>
      <sz val="9.5"/>
      <name val="Arial"/>
      <family val="2"/>
    </font>
    <font>
      <b/>
      <sz val="12"/>
      <name val="Arial"/>
      <family val="2"/>
    </font>
    <font>
      <u val="single"/>
      <sz val="12"/>
      <name val="Arial"/>
      <family val="2"/>
    </font>
    <font>
      <b/>
      <sz val="9"/>
      <name val="Arial"/>
      <family val="2"/>
    </font>
    <font>
      <b/>
      <sz val="115"/>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0"/>
      <color indexed="9"/>
      <name val="Arial"/>
      <family val="2"/>
    </font>
    <font>
      <b/>
      <sz val="16"/>
      <color indexed="8"/>
      <name val="Arial"/>
      <family val="2"/>
    </font>
    <font>
      <sz val="14"/>
      <color indexed="8"/>
      <name val="Arial"/>
      <family val="2"/>
    </font>
    <font>
      <sz val="22"/>
      <color indexed="8"/>
      <name val="Arial"/>
      <family val="2"/>
    </font>
    <font>
      <b/>
      <sz val="22"/>
      <color indexed="8"/>
      <name val="Arial"/>
      <family val="2"/>
    </font>
    <font>
      <b/>
      <sz val="9"/>
      <color indexed="9"/>
      <name val="Arial"/>
      <family val="2"/>
    </font>
    <font>
      <b/>
      <sz val="8"/>
      <color indexed="9"/>
      <name val="Arial"/>
      <family val="2"/>
    </font>
    <font>
      <b/>
      <sz val="11"/>
      <color indexed="9"/>
      <name val="Arial"/>
      <family val="2"/>
    </font>
    <font>
      <sz val="8"/>
      <name val="Tahoma"/>
      <family val="2"/>
    </font>
    <font>
      <b/>
      <i/>
      <sz val="11"/>
      <color indexed="8"/>
      <name val="Calibri"/>
      <family val="0"/>
    </font>
    <font>
      <i/>
      <sz val="11"/>
      <color indexed="8"/>
      <name val="Calibri"/>
      <family val="0"/>
    </font>
    <font>
      <b/>
      <u val="single"/>
      <sz val="11"/>
      <color indexed="8"/>
      <name val="Calibri"/>
      <family val="0"/>
    </font>
    <font>
      <sz val="14"/>
      <color indexed="8"/>
      <name val="Calibri"/>
      <family val="0"/>
    </font>
    <font>
      <sz val="12"/>
      <color indexed="8"/>
      <name val="Calibri"/>
      <family val="0"/>
    </font>
    <font>
      <u val="single"/>
      <sz val="12"/>
      <color indexed="8"/>
      <name val="Calibri"/>
      <family val="0"/>
    </font>
    <font>
      <b/>
      <sz val="12"/>
      <color indexed="8"/>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theme="0"/>
      <name val="Arial"/>
      <family val="2"/>
    </font>
    <font>
      <b/>
      <sz val="16"/>
      <color theme="1"/>
      <name val="Arial"/>
      <family val="2"/>
    </font>
    <font>
      <sz val="14"/>
      <color theme="1"/>
      <name val="Arial"/>
      <family val="2"/>
    </font>
    <font>
      <sz val="22"/>
      <color theme="1"/>
      <name val="Arial"/>
      <family val="2"/>
    </font>
    <font>
      <b/>
      <sz val="22"/>
      <color theme="1"/>
      <name val="Arial"/>
      <family val="2"/>
    </font>
    <font>
      <b/>
      <sz val="9"/>
      <color theme="0"/>
      <name val="Arial"/>
      <family val="2"/>
    </font>
    <font>
      <b/>
      <sz val="8"/>
      <color theme="0"/>
      <name val="Arial"/>
      <family val="2"/>
    </font>
    <font>
      <b/>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900102615356"/>
        <bgColor indexed="64"/>
      </patternFill>
    </fill>
    <fill>
      <patternFill patternType="solid">
        <fgColor theme="4"/>
        <bgColor indexed="64"/>
      </patternFill>
    </fill>
    <fill>
      <patternFill patternType="solid">
        <fgColor theme="0" tint="-0.149959996342659"/>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bottom style="thin">
        <color theme="0"/>
      </bottom>
    </border>
    <border>
      <left/>
      <right style="thin">
        <color theme="4" tint="0.39998000860214233"/>
      </right>
      <top/>
      <bottom style="thin">
        <color theme="0"/>
      </bottom>
    </border>
    <border>
      <left style="thin">
        <color theme="4" tint="0.39998000860214233"/>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top/>
      <bottom style="thin">
        <color theme="0"/>
      </bottom>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style="medium"/>
      <bottom style="thin"/>
    </border>
    <border>
      <left style="medium"/>
      <right style="thin"/>
      <top style="medium"/>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style="thin">
        <color theme="0"/>
      </right>
      <top/>
      <bottom style="thin">
        <color theme="0"/>
      </bottom>
    </border>
    <border>
      <left/>
      <right/>
      <top style="thin">
        <color theme="0"/>
      </top>
      <bottom/>
    </border>
    <border>
      <left style="medium"/>
      <right/>
      <top/>
      <bottom/>
    </border>
    <border>
      <left/>
      <right style="medium"/>
      <top/>
      <bottom/>
    </border>
    <border>
      <left style="thin"/>
      <right style="thin"/>
      <top style="thin"/>
      <bottom style="medium"/>
    </border>
    <border>
      <left style="medium"/>
      <right style="thin"/>
      <top style="thin"/>
      <bottom>
        <color indexed="63"/>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right style="medium"/>
      <top style="medium"/>
      <bottom/>
    </border>
    <border>
      <left style="medium"/>
      <right/>
      <top style="hair"/>
      <bottom/>
    </border>
    <border>
      <left/>
      <right/>
      <top style="hair"/>
      <bottom/>
    </border>
    <border>
      <left/>
      <right style="medium"/>
      <top style="hair"/>
      <botto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5">
    <xf numFmtId="0" fontId="0" fillId="0" borderId="0" xfId="0" applyAlignment="1">
      <alignment/>
    </xf>
    <xf numFmtId="0" fontId="0" fillId="0" borderId="0" xfId="0" applyAlignment="1">
      <alignment vertical="center" wrapText="1"/>
    </xf>
    <xf numFmtId="1" fontId="0" fillId="0" borderId="0" xfId="0" applyNumberFormat="1" applyAlignment="1">
      <alignment vertical="center" wrapText="1"/>
    </xf>
    <xf numFmtId="0" fontId="70" fillId="33" borderId="10" xfId="0" applyNumberFormat="1" applyFont="1" applyFill="1" applyBorder="1" applyAlignment="1">
      <alignment horizontal="center" vertical="center" wrapText="1"/>
    </xf>
    <xf numFmtId="1" fontId="70" fillId="33" borderId="10" xfId="0" applyNumberFormat="1" applyFont="1" applyFill="1" applyBorder="1" applyAlignment="1">
      <alignment horizontal="center" vertical="center" wrapText="1"/>
    </xf>
    <xf numFmtId="1" fontId="70" fillId="33" borderId="11" xfId="0" applyNumberFormat="1" applyFont="1" applyFill="1" applyBorder="1" applyAlignment="1">
      <alignment horizontal="center" vertical="center" wrapText="1"/>
    </xf>
    <xf numFmtId="0" fontId="71" fillId="33" borderId="10" xfId="0" applyNumberFormat="1" applyFont="1" applyFill="1" applyBorder="1" applyAlignment="1">
      <alignment horizontal="center" vertical="center" wrapText="1"/>
    </xf>
    <xf numFmtId="0" fontId="71" fillId="33" borderId="12" xfId="0" applyNumberFormat="1" applyFont="1" applyFill="1" applyBorder="1" applyAlignment="1">
      <alignment horizontal="center" vertical="center" wrapText="1"/>
    </xf>
    <xf numFmtId="0" fontId="71" fillId="33" borderId="10" xfId="0" applyNumberFormat="1" applyFont="1" applyFill="1" applyBorder="1" applyAlignment="1">
      <alignment horizontal="left" vertical="center" wrapText="1"/>
    </xf>
    <xf numFmtId="9" fontId="70" fillId="33" borderId="10" xfId="0" applyNumberFormat="1" applyFont="1" applyFill="1" applyBorder="1" applyAlignment="1">
      <alignment horizontal="center" vertical="center" wrapText="1"/>
    </xf>
    <xf numFmtId="0" fontId="72" fillId="34" borderId="12" xfId="0" applyFont="1" applyFill="1" applyBorder="1" applyAlignment="1">
      <alignment horizontal="center" vertical="center" wrapText="1"/>
    </xf>
    <xf numFmtId="0" fontId="2" fillId="0" borderId="10" xfId="0" applyFont="1" applyBorder="1" applyAlignment="1">
      <alignment horizontal="right" vertical="center" wrapText="1"/>
    </xf>
    <xf numFmtId="0" fontId="0" fillId="0" borderId="10" xfId="0" applyBorder="1" applyAlignment="1">
      <alignment vertical="center" wrapText="1"/>
    </xf>
    <xf numFmtId="0" fontId="72" fillId="34"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0" fillId="0" borderId="10" xfId="0" applyFont="1" applyBorder="1" applyAlignment="1">
      <alignment vertical="center" wrapText="1"/>
    </xf>
    <xf numFmtId="1" fontId="0" fillId="0" borderId="10" xfId="0" applyNumberFormat="1" applyBorder="1" applyAlignment="1">
      <alignment vertical="center" wrapText="1"/>
    </xf>
    <xf numFmtId="1" fontId="72" fillId="34" borderId="10"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1" fontId="72" fillId="34" borderId="15" xfId="0" applyNumberFormat="1" applyFont="1" applyFill="1" applyBorder="1" applyAlignment="1">
      <alignment horizontal="center" vertical="center" wrapText="1"/>
    </xf>
    <xf numFmtId="0" fontId="0" fillId="0" borderId="0" xfId="0" applyBorder="1" applyAlignment="1">
      <alignment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right" vertical="center" wrapText="1"/>
    </xf>
    <xf numFmtId="0" fontId="3" fillId="0" borderId="19" xfId="0" applyFont="1" applyBorder="1" applyAlignment="1">
      <alignment horizontal="left" vertical="center" wrapText="1"/>
    </xf>
    <xf numFmtId="0" fontId="0" fillId="0" borderId="0" xfId="0" applyAlignment="1">
      <alignment/>
    </xf>
    <xf numFmtId="0" fontId="3" fillId="0" borderId="20" xfId="0" applyFont="1" applyBorder="1" applyAlignment="1">
      <alignment horizontal="right" vertical="center" wrapText="1"/>
    </xf>
    <xf numFmtId="0" fontId="3" fillId="0" borderId="21" xfId="0" applyFont="1" applyBorder="1" applyAlignment="1">
      <alignment horizontal="center" vertical="center" wrapText="1"/>
    </xf>
    <xf numFmtId="0" fontId="73" fillId="33" borderId="12" xfId="0" applyNumberFormat="1" applyFont="1" applyFill="1" applyBorder="1" applyAlignment="1">
      <alignment horizontal="center" vertical="center" wrapText="1"/>
    </xf>
    <xf numFmtId="0" fontId="74" fillId="33" borderId="10" xfId="0" applyNumberFormat="1" applyFont="1" applyFill="1" applyBorder="1" applyAlignment="1">
      <alignment horizontal="center" vertical="center" wrapText="1"/>
    </xf>
    <xf numFmtId="1" fontId="75" fillId="33" borderId="10"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9" fontId="75" fillId="33" borderId="15" xfId="0" applyNumberFormat="1" applyFont="1" applyFill="1" applyBorder="1" applyAlignment="1">
      <alignment horizontal="center" vertical="center" wrapText="1"/>
    </xf>
    <xf numFmtId="1" fontId="77" fillId="34" borderId="10" xfId="0" applyNumberFormat="1" applyFont="1" applyFill="1" applyBorder="1" applyAlignment="1">
      <alignment horizontal="center" vertical="center" wrapText="1"/>
    </xf>
    <xf numFmtId="0" fontId="77" fillId="34" borderId="10" xfId="0" applyFont="1" applyFill="1" applyBorder="1" applyAlignment="1">
      <alignment horizontal="center" vertical="center" wrapText="1"/>
    </xf>
    <xf numFmtId="0" fontId="77" fillId="34" borderId="12" xfId="0" applyFont="1" applyFill="1" applyBorder="1" applyAlignment="1">
      <alignment horizontal="center" vertical="center" wrapText="1"/>
    </xf>
    <xf numFmtId="0" fontId="77" fillId="34" borderId="11" xfId="0" applyFont="1" applyFill="1" applyBorder="1" applyAlignment="1">
      <alignment horizontal="center" vertical="center" wrapText="1"/>
    </xf>
    <xf numFmtId="0" fontId="5" fillId="0" borderId="0" xfId="0" applyFont="1" applyAlignment="1">
      <alignment vertical="center" wrapText="1"/>
    </xf>
    <xf numFmtId="1" fontId="78" fillId="34" borderId="10" xfId="0" applyNumberFormat="1"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0" fillId="0" borderId="0" xfId="0" applyAlignment="1">
      <alignment vertical="top"/>
    </xf>
    <xf numFmtId="0" fontId="3" fillId="35" borderId="18" xfId="0" applyFont="1" applyFill="1" applyBorder="1" applyAlignment="1">
      <alignment horizontal="right" vertical="center" wrapText="1"/>
    </xf>
    <xf numFmtId="9" fontId="3" fillId="35" borderId="21" xfId="0" applyNumberFormat="1" applyFont="1" applyFill="1" applyBorder="1" applyAlignment="1">
      <alignment horizontal="center" vertical="center" wrapText="1"/>
    </xf>
    <xf numFmtId="0" fontId="3" fillId="35" borderId="17" xfId="0" applyFont="1" applyFill="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1" fontId="75" fillId="33" borderId="10" xfId="0" applyNumberFormat="1" applyFont="1" applyFill="1" applyBorder="1" applyAlignment="1">
      <alignment horizontal="right" vertical="center" wrapText="1"/>
    </xf>
    <xf numFmtId="0" fontId="77" fillId="34" borderId="15" xfId="0" applyFont="1" applyFill="1" applyBorder="1" applyAlignment="1">
      <alignment horizontal="center" vertical="center" wrapText="1"/>
    </xf>
    <xf numFmtId="1" fontId="70" fillId="33" borderId="15"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1" fontId="3" fillId="0" borderId="0" xfId="0" applyNumberFormat="1" applyFont="1" applyAlignment="1">
      <alignment horizontal="center" vertical="center" wrapText="1"/>
    </xf>
    <xf numFmtId="0" fontId="2" fillId="0" borderId="0" xfId="0" applyFont="1" applyAlignment="1">
      <alignment horizontal="left"/>
    </xf>
    <xf numFmtId="0" fontId="0" fillId="0" borderId="0" xfId="0" applyAlignment="1">
      <alignment horizontal="left"/>
    </xf>
    <xf numFmtId="49" fontId="77" fillId="34" borderId="10" xfId="0" applyNumberFormat="1" applyFont="1" applyFill="1" applyBorder="1" applyAlignment="1">
      <alignment horizontal="center" vertical="center" wrapText="1"/>
    </xf>
    <xf numFmtId="49" fontId="71" fillId="33" borderId="10" xfId="0" applyNumberFormat="1" applyFont="1" applyFill="1" applyBorder="1" applyAlignment="1">
      <alignment horizontal="center" vertical="center" wrapText="1"/>
    </xf>
    <xf numFmtId="49" fontId="0" fillId="0" borderId="0" xfId="0" applyNumberFormat="1" applyAlignment="1">
      <alignment vertical="center" wrapText="1"/>
    </xf>
    <xf numFmtId="49" fontId="0" fillId="0" borderId="0" xfId="0" applyNumberFormat="1" applyAlignment="1">
      <alignment/>
    </xf>
    <xf numFmtId="49" fontId="0" fillId="0" borderId="10" xfId="0" applyNumberFormat="1" applyBorder="1" applyAlignment="1">
      <alignment vertical="center" wrapText="1"/>
    </xf>
    <xf numFmtId="0" fontId="0" fillId="0" borderId="0" xfId="0" applyNumberFormat="1" applyAlignment="1">
      <alignment vertical="center" wrapText="1"/>
    </xf>
    <xf numFmtId="0" fontId="0" fillId="0" borderId="0" xfId="0" applyNumberFormat="1" applyAlignment="1">
      <alignment/>
    </xf>
    <xf numFmtId="0" fontId="7" fillId="0" borderId="22" xfId="0" applyNumberFormat="1" applyFont="1" applyBorder="1" applyAlignment="1">
      <alignment vertical="center"/>
    </xf>
    <xf numFmtId="0" fontId="7" fillId="0" borderId="23" xfId="0" applyNumberFormat="1" applyFont="1" applyBorder="1" applyAlignment="1">
      <alignment vertical="center"/>
    </xf>
    <xf numFmtId="0" fontId="7" fillId="0" borderId="24" xfId="0" applyNumberFormat="1" applyFont="1" applyBorder="1" applyAlignment="1">
      <alignment vertical="center"/>
    </xf>
    <xf numFmtId="49" fontId="71" fillId="33" borderId="25" xfId="0" applyNumberFormat="1" applyFont="1" applyFill="1" applyBorder="1" applyAlignment="1">
      <alignment horizontal="center" vertical="center" wrapText="1"/>
    </xf>
    <xf numFmtId="0" fontId="0" fillId="0" borderId="26" xfId="0" applyFont="1" applyBorder="1" applyAlignment="1">
      <alignment vertical="center" wrapText="1"/>
    </xf>
    <xf numFmtId="0" fontId="0" fillId="0" borderId="26" xfId="0" applyBorder="1" applyAlignment="1">
      <alignment vertical="center" wrapText="1"/>
    </xf>
    <xf numFmtId="0" fontId="7" fillId="0" borderId="0" xfId="0" applyNumberFormat="1" applyFont="1" applyBorder="1" applyAlignment="1">
      <alignment vertical="center"/>
    </xf>
    <xf numFmtId="0" fontId="7" fillId="0" borderId="27" xfId="0" applyNumberFormat="1" applyFont="1" applyBorder="1" applyAlignment="1">
      <alignment vertical="center"/>
    </xf>
    <xf numFmtId="0" fontId="7" fillId="0" borderId="28" xfId="0" applyNumberFormat="1" applyFont="1" applyBorder="1" applyAlignment="1">
      <alignment vertical="center"/>
    </xf>
    <xf numFmtId="49" fontId="77" fillId="34" borderId="21" xfId="0" applyNumberFormat="1" applyFont="1" applyFill="1" applyBorder="1" applyAlignment="1">
      <alignment horizontal="center" vertical="center" wrapText="1"/>
    </xf>
    <xf numFmtId="0" fontId="77" fillId="34" borderId="21" xfId="0" applyFont="1" applyFill="1" applyBorder="1" applyAlignment="1">
      <alignment horizontal="center" vertical="center" wrapText="1"/>
    </xf>
    <xf numFmtId="0" fontId="77" fillId="34" borderId="21" xfId="0" applyNumberFormat="1" applyFont="1" applyFill="1" applyBorder="1" applyAlignment="1">
      <alignment horizontal="center" vertical="center" wrapText="1"/>
    </xf>
    <xf numFmtId="49" fontId="71" fillId="33" borderId="21" xfId="0" applyNumberFormat="1" applyFont="1" applyFill="1" applyBorder="1" applyAlignment="1">
      <alignment horizontal="center" vertical="center" wrapText="1"/>
    </xf>
    <xf numFmtId="0" fontId="71" fillId="33" borderId="21" xfId="0" applyNumberFormat="1" applyFont="1" applyFill="1" applyBorder="1" applyAlignment="1">
      <alignment horizontal="center" vertical="center" wrapText="1"/>
    </xf>
    <xf numFmtId="0" fontId="71" fillId="36" borderId="21" xfId="0" applyNumberFormat="1" applyFont="1" applyFill="1" applyBorder="1" applyAlignment="1">
      <alignment horizontal="center" vertical="center" wrapText="1"/>
    </xf>
    <xf numFmtId="9" fontId="14" fillId="0" borderId="10" xfId="0" applyNumberFormat="1" applyFont="1" applyBorder="1" applyAlignment="1">
      <alignment horizontal="center" vertical="center" wrapText="1"/>
    </xf>
    <xf numFmtId="49" fontId="0" fillId="0" borderId="0" xfId="0" applyNumberFormat="1" applyFont="1" applyAlignment="1">
      <alignment vertical="center" wrapText="1"/>
    </xf>
    <xf numFmtId="0" fontId="0" fillId="0" borderId="0" xfId="0" applyBorder="1" applyAlignment="1">
      <alignment/>
    </xf>
    <xf numFmtId="49" fontId="70" fillId="33" borderId="0" xfId="0" applyNumberFormat="1" applyFont="1" applyFill="1" applyBorder="1" applyAlignment="1">
      <alignment horizontal="center" vertical="center" wrapText="1"/>
    </xf>
    <xf numFmtId="0" fontId="70" fillId="33" borderId="0" xfId="0" applyNumberFormat="1" applyFont="1" applyFill="1" applyBorder="1" applyAlignment="1">
      <alignment horizontal="center" vertical="center" wrapText="1"/>
    </xf>
    <xf numFmtId="49" fontId="79" fillId="34" borderId="21" xfId="0" applyNumberFormat="1" applyFont="1" applyFill="1" applyBorder="1" applyAlignment="1">
      <alignment horizontal="center" vertical="center" wrapText="1"/>
    </xf>
    <xf numFmtId="0" fontId="79" fillId="34" borderId="21" xfId="0" applyFont="1" applyFill="1" applyBorder="1" applyAlignment="1">
      <alignment horizontal="center" vertical="center" wrapText="1"/>
    </xf>
    <xf numFmtId="0" fontId="71" fillId="33" borderId="21" xfId="0" applyNumberFormat="1" applyFont="1" applyFill="1" applyBorder="1" applyAlignment="1">
      <alignment horizontal="left" vertical="center" wrapText="1"/>
    </xf>
    <xf numFmtId="9" fontId="4" fillId="0" borderId="0" xfId="0" applyNumberFormat="1" applyFont="1" applyFill="1" applyBorder="1" applyAlignment="1">
      <alignment horizontal="left" vertical="top" wrapText="1"/>
    </xf>
    <xf numFmtId="9" fontId="0" fillId="0" borderId="0" xfId="58" applyFont="1" applyAlignment="1">
      <alignment/>
    </xf>
    <xf numFmtId="9" fontId="0" fillId="0" borderId="0" xfId="58" applyFont="1" applyAlignment="1">
      <alignment vertical="center" wrapText="1"/>
    </xf>
    <xf numFmtId="9" fontId="3" fillId="0" borderId="0" xfId="58" applyFont="1" applyAlignment="1">
      <alignment horizontal="left" vertical="center" wrapText="1"/>
    </xf>
    <xf numFmtId="9" fontId="8" fillId="0" borderId="21" xfId="58" applyFont="1" applyBorder="1" applyAlignment="1">
      <alignment horizontal="center" vertical="center" wrapText="1"/>
    </xf>
    <xf numFmtId="9" fontId="7" fillId="0" borderId="21" xfId="58" applyFont="1" applyBorder="1" applyAlignment="1">
      <alignment horizontal="center" vertical="center" wrapText="1"/>
    </xf>
    <xf numFmtId="9" fontId="7" fillId="0" borderId="21" xfId="58" applyFont="1" applyBorder="1" applyAlignment="1">
      <alignment horizontal="center"/>
    </xf>
    <xf numFmtId="2" fontId="0" fillId="0" borderId="0" xfId="0" applyNumberFormat="1" applyAlignment="1">
      <alignment/>
    </xf>
    <xf numFmtId="1" fontId="3" fillId="35" borderId="29" xfId="0" applyNumberFormat="1" applyFont="1" applyFill="1" applyBorder="1" applyAlignment="1">
      <alignment horizontal="center" vertical="center" wrapText="1"/>
    </xf>
    <xf numFmtId="0" fontId="3" fillId="35" borderId="30" xfId="0" applyFont="1" applyFill="1" applyBorder="1" applyAlignment="1">
      <alignment horizontal="center" vertical="center" wrapText="1"/>
    </xf>
    <xf numFmtId="0" fontId="0" fillId="0" borderId="15" xfId="0" applyBorder="1" applyAlignment="1">
      <alignment vertical="center" wrapText="1"/>
    </xf>
    <xf numFmtId="1" fontId="72" fillId="34" borderId="31" xfId="0" applyNumberFormat="1" applyFont="1" applyFill="1" applyBorder="1" applyAlignment="1">
      <alignment horizontal="center" vertical="center" wrapText="1"/>
    </xf>
    <xf numFmtId="1" fontId="72" fillId="34" borderId="32" xfId="0" applyNumberFormat="1" applyFont="1" applyFill="1" applyBorder="1" applyAlignment="1">
      <alignment horizontal="center" vertical="center" wrapText="1"/>
    </xf>
    <xf numFmtId="1" fontId="72" fillId="34" borderId="33" xfId="0" applyNumberFormat="1" applyFont="1" applyFill="1" applyBorder="1" applyAlignment="1">
      <alignment horizontal="center" vertical="center" wrapText="1"/>
    </xf>
    <xf numFmtId="1" fontId="16" fillId="0" borderId="0" xfId="0" applyNumberFormat="1" applyFont="1" applyFill="1" applyBorder="1" applyAlignment="1">
      <alignment horizontal="right" vertical="center" wrapText="1"/>
    </xf>
    <xf numFmtId="49" fontId="2" fillId="0" borderId="0" xfId="0" applyNumberFormat="1" applyFont="1" applyAlignment="1">
      <alignment horizontal="center" vertical="center" wrapText="1"/>
    </xf>
    <xf numFmtId="0" fontId="13" fillId="0" borderId="0" xfId="0" applyFont="1" applyAlignment="1">
      <alignment horizontal="left" vertical="top" wrapText="1"/>
    </xf>
    <xf numFmtId="0" fontId="13" fillId="0" borderId="15"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49" fontId="0" fillId="0" borderId="0" xfId="0" applyNumberFormat="1" applyFont="1" applyAlignment="1">
      <alignment horizontal="center" textRotation="90" wrapText="1"/>
    </xf>
    <xf numFmtId="49" fontId="0" fillId="0" borderId="15" xfId="0" applyNumberFormat="1" applyFont="1" applyBorder="1" applyAlignment="1">
      <alignment horizontal="center" textRotation="90" wrapText="1"/>
    </xf>
    <xf numFmtId="0" fontId="5" fillId="0" borderId="14" xfId="0" applyFont="1" applyBorder="1" applyAlignment="1">
      <alignment horizontal="right" vertical="center" wrapText="1"/>
    </xf>
    <xf numFmtId="0" fontId="5" fillId="0" borderId="15" xfId="0" applyFont="1" applyBorder="1" applyAlignment="1">
      <alignment horizontal="right" vertical="center" wrapText="1"/>
    </xf>
    <xf numFmtId="0" fontId="5" fillId="0" borderId="10" xfId="0" applyFont="1" applyBorder="1" applyAlignment="1">
      <alignment horizontal="right" vertical="center" wrapText="1"/>
    </xf>
    <xf numFmtId="49" fontId="79" fillId="34" borderId="34" xfId="0" applyNumberFormat="1" applyFont="1" applyFill="1" applyBorder="1" applyAlignment="1">
      <alignment horizontal="center" vertical="center" wrapText="1"/>
    </xf>
    <xf numFmtId="49" fontId="79" fillId="34" borderId="35" xfId="0" applyNumberFormat="1" applyFont="1" applyFill="1" applyBorder="1" applyAlignment="1">
      <alignment horizontal="center" vertical="center" wrapText="1"/>
    </xf>
    <xf numFmtId="49" fontId="79" fillId="34" borderId="36" xfId="0" applyNumberFormat="1" applyFont="1" applyFill="1" applyBorder="1" applyAlignment="1">
      <alignment horizontal="center" vertical="center" wrapText="1"/>
    </xf>
    <xf numFmtId="0" fontId="10" fillId="0" borderId="27" xfId="0" applyNumberFormat="1" applyFont="1" applyBorder="1" applyAlignment="1">
      <alignment vertical="center" wrapText="1"/>
    </xf>
    <xf numFmtId="0" fontId="10" fillId="0" borderId="0" xfId="0" applyNumberFormat="1" applyFont="1" applyBorder="1" applyAlignment="1">
      <alignment vertical="center" wrapText="1"/>
    </xf>
    <xf numFmtId="0" fontId="10" fillId="0" borderId="28" xfId="0" applyNumberFormat="1" applyFont="1" applyBorder="1" applyAlignment="1">
      <alignment vertical="center" wrapText="1"/>
    </xf>
    <xf numFmtId="0" fontId="9" fillId="0" borderId="37" xfId="0" applyNumberFormat="1" applyFont="1" applyBorder="1" applyAlignment="1">
      <alignment vertical="center" wrapText="1"/>
    </xf>
    <xf numFmtId="0" fontId="9" fillId="0" borderId="38" xfId="0" applyNumberFormat="1" applyFont="1" applyBorder="1" applyAlignment="1">
      <alignment vertical="center" wrapText="1"/>
    </xf>
    <xf numFmtId="0" fontId="9" fillId="0" borderId="39" xfId="0" applyNumberFormat="1" applyFont="1" applyBorder="1" applyAlignment="1">
      <alignment vertical="center" wrapText="1"/>
    </xf>
    <xf numFmtId="0" fontId="7" fillId="0" borderId="27"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28" xfId="0" applyNumberFormat="1" applyFont="1" applyBorder="1" applyAlignment="1">
      <alignment vertical="center" wrapText="1"/>
    </xf>
    <xf numFmtId="0" fontId="0" fillId="0" borderId="27" xfId="0" applyNumberFormat="1" applyBorder="1" applyAlignment="1">
      <alignment vertical="center" wrapText="1"/>
    </xf>
    <xf numFmtId="0" fontId="0" fillId="0" borderId="0" xfId="0" applyNumberFormat="1" applyBorder="1" applyAlignment="1">
      <alignment vertical="center" wrapText="1"/>
    </xf>
    <xf numFmtId="0" fontId="0" fillId="0" borderId="28" xfId="0" applyNumberFormat="1" applyBorder="1" applyAlignment="1">
      <alignment vertical="center" wrapText="1"/>
    </xf>
    <xf numFmtId="0" fontId="8" fillId="0" borderId="27" xfId="0" applyNumberFormat="1" applyFont="1" applyBorder="1" applyAlignment="1">
      <alignment vertical="center" wrapText="1"/>
    </xf>
    <xf numFmtId="0" fontId="8" fillId="0" borderId="0" xfId="0" applyNumberFormat="1" applyFont="1" applyBorder="1" applyAlignment="1">
      <alignment vertical="center" wrapText="1"/>
    </xf>
    <xf numFmtId="0" fontId="8" fillId="0" borderId="28" xfId="0" applyNumberFormat="1" applyFont="1" applyBorder="1" applyAlignment="1">
      <alignment vertical="center" wrapText="1"/>
    </xf>
    <xf numFmtId="0" fontId="7" fillId="0" borderId="27"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28" xfId="0" applyNumberFormat="1" applyFont="1" applyBorder="1" applyAlignment="1">
      <alignment horizontal="left" vertical="center" wrapText="1"/>
    </xf>
    <xf numFmtId="0" fontId="7" fillId="0" borderId="40" xfId="0" applyNumberFormat="1" applyFont="1" applyBorder="1" applyAlignment="1">
      <alignment horizontal="left" vertical="center" wrapText="1"/>
    </xf>
    <xf numFmtId="0" fontId="7" fillId="0" borderId="41" xfId="0" applyNumberFormat="1" applyFont="1" applyBorder="1" applyAlignment="1">
      <alignment horizontal="left" vertical="center" wrapText="1"/>
    </xf>
    <xf numFmtId="0" fontId="7" fillId="0" borderId="42" xfId="0" applyNumberFormat="1" applyFont="1" applyBorder="1" applyAlignment="1">
      <alignment horizontal="left" vertical="center" wrapText="1"/>
    </xf>
    <xf numFmtId="0" fontId="8" fillId="0" borderId="37" xfId="0" applyNumberFormat="1" applyFont="1" applyBorder="1" applyAlignment="1">
      <alignment vertical="center" wrapText="1"/>
    </xf>
    <xf numFmtId="0" fontId="8" fillId="0" borderId="38" xfId="0" applyNumberFormat="1" applyFont="1" applyBorder="1" applyAlignment="1">
      <alignment vertical="center" wrapText="1"/>
    </xf>
    <xf numFmtId="0" fontId="8" fillId="0" borderId="39" xfId="0" applyNumberFormat="1" applyFont="1" applyBorder="1" applyAlignment="1">
      <alignment vertical="center" wrapText="1"/>
    </xf>
    <xf numFmtId="0" fontId="7" fillId="0" borderId="27"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28" xfId="0" applyNumberFormat="1" applyFont="1" applyFill="1" applyBorder="1" applyAlignment="1">
      <alignment vertical="center" wrapText="1"/>
    </xf>
    <xf numFmtId="0" fontId="11" fillId="0" borderId="27" xfId="0" applyNumberFormat="1" applyFont="1" applyBorder="1" applyAlignment="1">
      <alignment vertical="center" wrapText="1"/>
    </xf>
    <xf numFmtId="0" fontId="11" fillId="0" borderId="0" xfId="0" applyNumberFormat="1" applyFont="1" applyBorder="1" applyAlignment="1">
      <alignment vertical="center" wrapText="1"/>
    </xf>
    <xf numFmtId="0" fontId="11" fillId="0" borderId="28" xfId="0" applyNumberFormat="1" applyFont="1" applyBorder="1" applyAlignment="1">
      <alignment vertical="center" wrapText="1"/>
    </xf>
    <xf numFmtId="0" fontId="7" fillId="0" borderId="22" xfId="0" applyNumberFormat="1" applyFont="1" applyBorder="1" applyAlignment="1">
      <alignment vertical="center" wrapText="1"/>
    </xf>
    <xf numFmtId="0" fontId="7" fillId="0" borderId="23" xfId="0" applyNumberFormat="1" applyFont="1" applyBorder="1" applyAlignment="1">
      <alignment vertical="center" wrapText="1"/>
    </xf>
    <xf numFmtId="0" fontId="7" fillId="0" borderId="24" xfId="0" applyNumberFormat="1" applyFont="1" applyBorder="1" applyAlignment="1">
      <alignment vertical="center" wrapText="1"/>
    </xf>
    <xf numFmtId="0" fontId="7" fillId="0" borderId="22" xfId="0" applyNumberFormat="1" applyFont="1" applyFill="1" applyBorder="1" applyAlignment="1">
      <alignment vertical="center" wrapText="1"/>
    </xf>
    <xf numFmtId="0" fontId="7" fillId="0" borderId="23" xfId="0" applyNumberFormat="1" applyFont="1" applyFill="1" applyBorder="1" applyAlignment="1">
      <alignment vertical="center" wrapText="1"/>
    </xf>
    <xf numFmtId="0" fontId="7" fillId="0" borderId="24" xfId="0" applyNumberFormat="1" applyFont="1" applyFill="1" applyBorder="1" applyAlignment="1">
      <alignment vertical="center" wrapText="1"/>
    </xf>
    <xf numFmtId="0" fontId="3" fillId="35" borderId="43"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45"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7">
    <dxf>
      <fill>
        <patternFill>
          <bgColor rgb="FFFFFF00"/>
        </patternFill>
      </fill>
    </dxf>
    <dxf>
      <fill>
        <patternFill>
          <bgColor rgb="FFFFFF00"/>
        </patternFill>
      </fill>
    </dxf>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dxf>
      <font>
        <b/>
        <i val="0"/>
        <color rgb="FFFFFF00"/>
      </font>
      <fill>
        <patternFill>
          <bgColor rgb="FF0070C0"/>
        </patternFill>
      </fill>
      <border>
        <left style="thin"/>
        <right style="thin"/>
        <top style="thin"/>
        <bottom style="thin"/>
      </border>
    </dxf>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strike val="0"/>
        <color rgb="FFFFFF00"/>
      </font>
      <fill>
        <patternFill>
          <bgColor rgb="FF0070C0"/>
        </patternFill>
      </fill>
    </dxf>
    <dxf>
      <font>
        <b/>
        <i val="0"/>
        <color rgb="FFFFFF00"/>
      </font>
      <fill>
        <patternFill>
          <bgColor rgb="FF0070C0"/>
        </patternFill>
      </fill>
      <border>
        <left style="thin"/>
        <right style="thin"/>
        <top style="thin"/>
        <bottom style="thin"/>
      </border>
    </dxf>
    <dxf>
      <fill>
        <patternFill>
          <bgColor theme="4" tint="0.5999600291252136"/>
        </patternFill>
      </fill>
    </dxf>
    <dxf/>
    <dxf/>
    <dxf>
      <font>
        <b/>
        <i val="0"/>
        <color rgb="FFFFFF00"/>
      </font>
      <fill>
        <patternFill>
          <bgColor rgb="FF0070C0"/>
        </patternFill>
      </fill>
      <border>
        <left style="thin"/>
        <right style="thin"/>
        <top style="thin"/>
        <bottom style="thin"/>
      </border>
    </dxf>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ont>
        <b/>
        <i val="0"/>
        <color rgb="FFFFFF00"/>
      </font>
      <fill>
        <patternFill>
          <bgColor rgb="FF0070C0"/>
        </patternFill>
      </fill>
      <border>
        <left style="thin"/>
        <right style="thin"/>
        <top style="thin"/>
        <bottom style="thin"/>
      </border>
    </dxf>
    <dxf>
      <fill>
        <patternFill>
          <bgColor rgb="FFFFFF00"/>
        </patternFill>
      </fill>
      <border>
        <left style="thin"/>
        <right style="thin"/>
        <top style="thin"/>
        <bottom style="thin"/>
      </border>
    </dxf>
    <dxf>
      <font>
        <b/>
        <i val="0"/>
        <color rgb="FFFFFF00"/>
      </font>
      <fill>
        <patternFill>
          <bgColor rgb="FF0070C0"/>
        </patternFill>
      </fill>
      <border>
        <left style="thin"/>
        <right style="thin"/>
        <top style="thin"/>
        <bottom style="thin"/>
      </border>
    </dxf>
    <dxf>
      <fill>
        <patternFill>
          <bgColor rgb="FF92D050"/>
        </patternFill>
      </fill>
    </dxf>
    <dxf>
      <fill>
        <patternFill>
          <bgColor rgb="FFFFFF66"/>
        </patternFill>
      </fill>
    </dxf>
    <dxf>
      <fill>
        <patternFill>
          <bgColor theme="4" tint="0.5999600291252136"/>
        </patternFill>
      </fill>
      <border>
        <left style="thin">
          <color theme="0"/>
        </left>
        <right style="thin">
          <color theme="0"/>
        </right>
        <top style="thin">
          <color theme="0"/>
        </top>
        <bottom style="thin">
          <color theme="0"/>
        </bottom>
      </border>
    </dxf>
    <dxf>
      <fill>
        <patternFill>
          <bgColor rgb="FFFF0000"/>
        </patternFill>
      </fill>
      <border/>
    </dxf>
    <dxf>
      <font>
        <b/>
        <i val="0"/>
        <color rgb="FFFFFF00"/>
      </font>
      <fill>
        <patternFill>
          <bgColor rgb="FF0070C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C9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hyperlink" Target="http://firstlegoleague.org/event/judgingfaq"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104775</xdr:rowOff>
    </xdr:from>
    <xdr:to>
      <xdr:col>12</xdr:col>
      <xdr:colOff>609600</xdr:colOff>
      <xdr:row>45</xdr:row>
      <xdr:rowOff>38100</xdr:rowOff>
    </xdr:to>
    <xdr:sp>
      <xdr:nvSpPr>
        <xdr:cNvPr id="1" name="TextBox 1"/>
        <xdr:cNvSpPr txBox="1">
          <a:spLocks noChangeArrowheads="1"/>
        </xdr:cNvSpPr>
      </xdr:nvSpPr>
      <xdr:spPr>
        <a:xfrm>
          <a:off x="28575" y="104775"/>
          <a:ext cx="7896225" cy="72199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spreadsheet is provided as a possible  tool for FLL judging teams while determining the awards to grant during deliberations for a  FLL tournament.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This is only a tool and should be used to help with determining the possible awards. The official FIRST guidance and the guidance of the FLL judge advisor and head judges for the event should take precedence.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Ensure you enable Macros when this file is opened. Failure to enable the macros will prevent the sorting to be performed when the buttons are pressed. If needed, select the "Clear Sheet" button to eliminate previous data or examples.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Enter the team numbers and team names in the </a:t>
          </a:r>
          <a:r>
            <a:rPr lang="en-US" cap="none" sz="1100" b="1" i="1" u="none" baseline="0">
              <a:solidFill>
                <a:srgbClr val="000000"/>
              </a:solidFill>
              <a:latin typeface="Calibri"/>
              <a:ea typeface="Calibri"/>
              <a:cs typeface="Calibri"/>
            </a:rPr>
            <a:t>Team Information Input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If desired, enter in "Rookie" in the </a:t>
          </a:r>
          <a:r>
            <a:rPr lang="en-US" cap="none" sz="1100" b="1" i="1" u="none" baseline="0">
              <a:solidFill>
                <a:srgbClr val="000000"/>
              </a:solidFill>
              <a:latin typeface="Calibri"/>
              <a:ea typeface="Calibri"/>
              <a:cs typeface="Calibri"/>
            </a:rPr>
            <a:t>Team Information Input </a:t>
          </a:r>
          <a:r>
            <a:rPr lang="en-US" cap="none" sz="1100" b="0" i="0" u="none" baseline="0">
              <a:solidFill>
                <a:srgbClr val="000000"/>
              </a:solidFill>
              <a:latin typeface="Calibri"/>
              <a:ea typeface="Calibri"/>
              <a:cs typeface="Calibri"/>
            </a:rPr>
            <a:t>worksheet in the rookie team column. It is up to the Operational Parner and Judge Advisor to determine the criteria for what is considered a rookie team.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Enter the number of teams competing and  number advancing to the next level of competition in the </a:t>
          </a:r>
          <a:r>
            <a:rPr lang="en-US" cap="none" sz="1100" b="1" i="1" u="none" baseline="0">
              <a:solidFill>
                <a:srgbClr val="000000"/>
              </a:solidFill>
              <a:latin typeface="Calibri"/>
              <a:ea typeface="Calibri"/>
              <a:cs typeface="Calibri"/>
            </a:rPr>
            <a:t>Setup</a:t>
          </a:r>
          <a:r>
            <a:rPr lang="en-US" cap="none" sz="1100" b="0" i="0" u="none" baseline="0">
              <a:solidFill>
                <a:srgbClr val="000000"/>
              </a:solidFill>
              <a:latin typeface="Calibri"/>
              <a:ea typeface="Calibri"/>
              <a:cs typeface="Calibri"/>
            </a:rPr>
            <a:t> worksheet.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After the initial judging deliberations, enter the ordinal ranking for each team in each of the core judging areas (Project, Robot Design, Core Values) in the </a:t>
          </a:r>
          <a:r>
            <a:rPr lang="en-US" cap="none" sz="1100" b="1" i="1" u="none" baseline="0">
              <a:solidFill>
                <a:srgbClr val="000000"/>
              </a:solidFill>
              <a:latin typeface="Calibri"/>
              <a:ea typeface="Calibri"/>
              <a:cs typeface="Calibri"/>
            </a:rPr>
            <a:t>Judged Area Analysis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Worksheet.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To Judge Advisor/Head Judge, it is not important to rank </a:t>
          </a:r>
          <a:r>
            <a:rPr lang="en-US" cap="none" sz="1100" b="1" i="0" u="sng" baseline="0">
              <a:solidFill>
                <a:srgbClr val="000000"/>
              </a:solidFill>
              <a:latin typeface="Calibri"/>
              <a:ea typeface="Calibri"/>
              <a:cs typeface="Calibri"/>
            </a:rPr>
            <a:t>all</a:t>
          </a:r>
          <a:r>
            <a:rPr lang="en-US" cap="none" sz="1100" b="1" i="0" u="none" baseline="0">
              <a:solidFill>
                <a:srgbClr val="000000"/>
              </a:solidFill>
              <a:latin typeface="Calibri"/>
              <a:ea typeface="Calibri"/>
              <a:cs typeface="Calibri"/>
            </a:rPr>
            <a:t> of the teams. Use your judgement to determine that the  top XX teams should be ranked relative to each other.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Enter the match scores in the </a:t>
          </a:r>
          <a:r>
            <a:rPr lang="en-US" cap="none" sz="1100" b="1" i="1" u="none" baseline="0">
              <a:solidFill>
                <a:srgbClr val="000000"/>
              </a:solidFill>
              <a:latin typeface="Calibri"/>
              <a:ea typeface="Calibri"/>
              <a:cs typeface="Calibri"/>
            </a:rPr>
            <a:t>Robot Performance Analysis </a:t>
          </a:r>
          <a:r>
            <a:rPr lang="en-US" cap="none" sz="1100" b="0" i="0" u="none" baseline="0">
              <a:solidFill>
                <a:srgbClr val="000000"/>
              </a:solidFill>
              <a:latin typeface="Calibri"/>
              <a:ea typeface="Calibri"/>
              <a:cs typeface="Calibri"/>
            </a:rPr>
            <a:t>worksheet. (This can be done continually as the tournament goes on). If you are using tournament scoring software (Danny Diaz etc.), it might be possible to just copy the scores over from the other program. Also, it is not necessary to enter all of the scores. If desired, you can enter just the highest score.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Sort, as desired, the spreadsheet using the buttons at the top of each column in the </a:t>
          </a:r>
          <a:r>
            <a:rPr lang="en-US" cap="none" sz="1100" b="1" i="1" u="none" baseline="0">
              <a:solidFill>
                <a:srgbClr val="000000"/>
              </a:solidFill>
              <a:latin typeface="Calibri"/>
              <a:ea typeface="Calibri"/>
              <a:cs typeface="Calibri"/>
            </a:rPr>
            <a:t>Judged Area Analysis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worksheet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For the FLL Core Awards, the scoresheet color codes the highest ranking team (with a gold 1 and blue background) and the uses a color gradient to rank the remaining teams.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As awards are determined, fill in the Awards Given column. Add notes as desired. If desired, the notes column can be used to  identify significant comments on various teams (like  if they are chosen to advance and any comments on why not).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If desired, you can use the scripts which are pre-populated in the condensed awards script and expanded awards scripts.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133350</xdr:rowOff>
    </xdr:from>
    <xdr:to>
      <xdr:col>3</xdr:col>
      <xdr:colOff>657225</xdr:colOff>
      <xdr:row>6</xdr:row>
      <xdr:rowOff>57150</xdr:rowOff>
    </xdr:to>
    <xdr:sp>
      <xdr:nvSpPr>
        <xdr:cNvPr id="1" name="TextBox 12"/>
        <xdr:cNvSpPr txBox="1">
          <a:spLocks noChangeArrowheads="1"/>
        </xdr:cNvSpPr>
      </xdr:nvSpPr>
      <xdr:spPr>
        <a:xfrm>
          <a:off x="876300" y="133350"/>
          <a:ext cx="2047875"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robot performance hurdle is calculated on the </a:t>
          </a:r>
          <a:r>
            <a:rPr lang="en-US" cap="none" sz="1100" b="1" i="1" u="none" baseline="0">
              <a:solidFill>
                <a:srgbClr val="000000"/>
              </a:solidFill>
              <a:latin typeface="Calibri"/>
              <a:ea typeface="Calibri"/>
              <a:cs typeface="Calibri"/>
            </a:rPr>
            <a:t>Setup Worksheet </a:t>
          </a:r>
          <a:r>
            <a:rPr lang="en-US" cap="none" sz="1100" b="0" i="0" u="none" baseline="0">
              <a:solidFill>
                <a:srgbClr val="000000"/>
              </a:solidFill>
              <a:latin typeface="Calibri"/>
              <a:ea typeface="Calibri"/>
              <a:cs typeface="Calibri"/>
            </a:rPr>
            <a:t>and is the cutoff  determines if the team should be eligible for the Champion's Award and should be considered for advancement.</a:t>
          </a:r>
        </a:p>
      </xdr:txBody>
    </xdr:sp>
    <xdr:clientData/>
  </xdr:twoCellAnchor>
  <xdr:twoCellAnchor>
    <xdr:from>
      <xdr:col>18</xdr:col>
      <xdr:colOff>828675</xdr:colOff>
      <xdr:row>127</xdr:row>
      <xdr:rowOff>28575</xdr:rowOff>
    </xdr:from>
    <xdr:to>
      <xdr:col>18</xdr:col>
      <xdr:colOff>1009650</xdr:colOff>
      <xdr:row>131</xdr:row>
      <xdr:rowOff>19050</xdr:rowOff>
    </xdr:to>
    <xdr:sp>
      <xdr:nvSpPr>
        <xdr:cNvPr id="2" name="Left Brace 2"/>
        <xdr:cNvSpPr>
          <a:spLocks/>
        </xdr:cNvSpPr>
      </xdr:nvSpPr>
      <xdr:spPr>
        <a:xfrm>
          <a:off x="11439525" y="38700075"/>
          <a:ext cx="180975" cy="638175"/>
        </a:xfrm>
        <a:prstGeom prst="leftBrace">
          <a:avLst>
            <a:gd name="adj" fmla="val -4766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119</xdr:row>
      <xdr:rowOff>57150</xdr:rowOff>
    </xdr:from>
    <xdr:to>
      <xdr:col>6</xdr:col>
      <xdr:colOff>942975</xdr:colOff>
      <xdr:row>120</xdr:row>
      <xdr:rowOff>76200</xdr:rowOff>
    </xdr:to>
    <xdr:sp>
      <xdr:nvSpPr>
        <xdr:cNvPr id="1" name="Left Brace 1"/>
        <xdr:cNvSpPr>
          <a:spLocks/>
        </xdr:cNvSpPr>
      </xdr:nvSpPr>
      <xdr:spPr>
        <a:xfrm rot="16200000">
          <a:off x="5229225" y="53206650"/>
          <a:ext cx="2705100" cy="180975"/>
        </a:xfrm>
        <a:prstGeom prst="leftBrace">
          <a:avLst>
            <a:gd name="adj" fmla="val -4944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120</xdr:row>
      <xdr:rowOff>133350</xdr:rowOff>
    </xdr:from>
    <xdr:to>
      <xdr:col>6</xdr:col>
      <xdr:colOff>914400</xdr:colOff>
      <xdr:row>122</xdr:row>
      <xdr:rowOff>114300</xdr:rowOff>
    </xdr:to>
    <xdr:sp>
      <xdr:nvSpPr>
        <xdr:cNvPr id="2" name="TextBox 2"/>
        <xdr:cNvSpPr txBox="1">
          <a:spLocks noChangeArrowheads="1"/>
        </xdr:cNvSpPr>
      </xdr:nvSpPr>
      <xdr:spPr>
        <a:xfrm>
          <a:off x="5286375" y="53444775"/>
          <a:ext cx="2619375" cy="3048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Enter information</a:t>
          </a:r>
          <a:r>
            <a:rPr lang="en-US" cap="none" sz="1400" b="0" i="0" u="none" baseline="0">
              <a:solidFill>
                <a:srgbClr val="000000"/>
              </a:solidFill>
              <a:latin typeface="Calibri"/>
              <a:ea typeface="Calibri"/>
              <a:cs typeface="Calibri"/>
            </a:rPr>
            <a:t> here</a:t>
          </a:r>
        </a:p>
      </xdr:txBody>
    </xdr:sp>
    <xdr:clientData/>
  </xdr:twoCellAnchor>
  <xdr:twoCellAnchor>
    <xdr:from>
      <xdr:col>7</xdr:col>
      <xdr:colOff>47625</xdr:colOff>
      <xdr:row>119</xdr:row>
      <xdr:rowOff>57150</xdr:rowOff>
    </xdr:from>
    <xdr:to>
      <xdr:col>12</xdr:col>
      <xdr:colOff>962025</xdr:colOff>
      <xdr:row>120</xdr:row>
      <xdr:rowOff>95250</xdr:rowOff>
    </xdr:to>
    <xdr:sp>
      <xdr:nvSpPr>
        <xdr:cNvPr id="3" name="Left Brace 3"/>
        <xdr:cNvSpPr>
          <a:spLocks/>
        </xdr:cNvSpPr>
      </xdr:nvSpPr>
      <xdr:spPr>
        <a:xfrm rot="16200000">
          <a:off x="8020050" y="53206650"/>
          <a:ext cx="3124200" cy="200025"/>
        </a:xfrm>
        <a:prstGeom prst="leftBrace">
          <a:avLst>
            <a:gd name="adj" fmla="val -4956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120</xdr:row>
      <xdr:rowOff>123825</xdr:rowOff>
    </xdr:from>
    <xdr:to>
      <xdr:col>12</xdr:col>
      <xdr:colOff>952500</xdr:colOff>
      <xdr:row>122</xdr:row>
      <xdr:rowOff>104775</xdr:rowOff>
    </xdr:to>
    <xdr:sp>
      <xdr:nvSpPr>
        <xdr:cNvPr id="4" name="TextBox 4"/>
        <xdr:cNvSpPr txBox="1">
          <a:spLocks noChangeArrowheads="1"/>
        </xdr:cNvSpPr>
      </xdr:nvSpPr>
      <xdr:spPr>
        <a:xfrm>
          <a:off x="8143875" y="53435250"/>
          <a:ext cx="3000375" cy="3048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Don't change</a:t>
          </a:r>
          <a:r>
            <a:rPr lang="en-US" cap="none" sz="1400" b="0" i="0" u="none" baseline="0">
              <a:solidFill>
                <a:srgbClr val="000000"/>
              </a:solidFill>
              <a:latin typeface="Calibri"/>
              <a:ea typeface="Calibri"/>
              <a:cs typeface="Calibri"/>
            </a:rPr>
            <a:t> these columns (calculated)</a:t>
          </a:r>
        </a:p>
      </xdr:txBody>
    </xdr:sp>
    <xdr:clientData/>
  </xdr:twoCellAnchor>
  <xdr:twoCellAnchor>
    <xdr:from>
      <xdr:col>1</xdr:col>
      <xdr:colOff>9525</xdr:colOff>
      <xdr:row>119</xdr:row>
      <xdr:rowOff>57150</xdr:rowOff>
    </xdr:from>
    <xdr:to>
      <xdr:col>4</xdr:col>
      <xdr:colOff>9525</xdr:colOff>
      <xdr:row>120</xdr:row>
      <xdr:rowOff>85725</xdr:rowOff>
    </xdr:to>
    <xdr:sp>
      <xdr:nvSpPr>
        <xdr:cNvPr id="5" name="Left Brace 3"/>
        <xdr:cNvSpPr>
          <a:spLocks/>
        </xdr:cNvSpPr>
      </xdr:nvSpPr>
      <xdr:spPr>
        <a:xfrm rot="16200000">
          <a:off x="295275" y="53206650"/>
          <a:ext cx="4772025" cy="190500"/>
        </a:xfrm>
        <a:prstGeom prst="leftBrace">
          <a:avLst>
            <a:gd name="adj" fmla="val -4951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120</xdr:row>
      <xdr:rowOff>123825</xdr:rowOff>
    </xdr:from>
    <xdr:to>
      <xdr:col>4</xdr:col>
      <xdr:colOff>38100</xdr:colOff>
      <xdr:row>122</xdr:row>
      <xdr:rowOff>104775</xdr:rowOff>
    </xdr:to>
    <xdr:sp>
      <xdr:nvSpPr>
        <xdr:cNvPr id="6" name="TextBox 9"/>
        <xdr:cNvSpPr txBox="1">
          <a:spLocks noChangeArrowheads="1"/>
        </xdr:cNvSpPr>
      </xdr:nvSpPr>
      <xdr:spPr>
        <a:xfrm>
          <a:off x="419100" y="53435250"/>
          <a:ext cx="4676775" cy="3048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Don't change</a:t>
          </a:r>
          <a:r>
            <a:rPr lang="en-US" cap="none" sz="1400" b="0" i="0" u="none" baseline="0">
              <a:solidFill>
                <a:srgbClr val="000000"/>
              </a:solidFill>
              <a:latin typeface="Calibri"/>
              <a:ea typeface="Calibri"/>
              <a:cs typeface="Calibri"/>
            </a:rPr>
            <a:t> these columns (referenced)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11</xdr:row>
      <xdr:rowOff>38100</xdr:rowOff>
    </xdr:from>
    <xdr:to>
      <xdr:col>10</xdr:col>
      <xdr:colOff>38100</xdr:colOff>
      <xdr:row>18</xdr:row>
      <xdr:rowOff>152400</xdr:rowOff>
    </xdr:to>
    <xdr:sp>
      <xdr:nvSpPr>
        <xdr:cNvPr id="1" name="Rounded Rectangular Callout 1"/>
        <xdr:cNvSpPr>
          <a:spLocks/>
        </xdr:cNvSpPr>
      </xdr:nvSpPr>
      <xdr:spPr>
        <a:xfrm>
          <a:off x="9353550" y="1962150"/>
          <a:ext cx="2076450" cy="1247775"/>
        </a:xfrm>
        <a:prstGeom prst="wedgeRoundRectCallout">
          <a:avLst>
            <a:gd name="adj1" fmla="val -65268"/>
            <a:gd name="adj2" fmla="val 19726"/>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Since these are not  team awards, you will have to "hard code" the entries here.
</a:t>
          </a:r>
          <a:r>
            <a:rPr lang="en-US" cap="none" sz="1100" b="0" i="0" u="none" baseline="0">
              <a:solidFill>
                <a:srgbClr val="000000"/>
              </a:solidFill>
            </a:rPr>
            <a:t>
</a:t>
          </a:r>
          <a:r>
            <a:rPr lang="en-US" cap="none" sz="1100" b="0" i="0" u="none" baseline="0">
              <a:solidFill>
                <a:srgbClr val="000000"/>
              </a:solidFill>
            </a:rPr>
            <a:t>In the column for "Team Name" enter the name of the individual.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35</xdr:row>
      <xdr:rowOff>57150</xdr:rowOff>
    </xdr:from>
    <xdr:to>
      <xdr:col>9</xdr:col>
      <xdr:colOff>571500</xdr:colOff>
      <xdr:row>43</xdr:row>
      <xdr:rowOff>76200</xdr:rowOff>
    </xdr:to>
    <xdr:sp>
      <xdr:nvSpPr>
        <xdr:cNvPr id="1" name="Rounded Rectangular Callout 1"/>
        <xdr:cNvSpPr>
          <a:spLocks/>
        </xdr:cNvSpPr>
      </xdr:nvSpPr>
      <xdr:spPr>
        <a:xfrm>
          <a:off x="9277350" y="5534025"/>
          <a:ext cx="2076450" cy="1247775"/>
        </a:xfrm>
        <a:prstGeom prst="wedgeRoundRectCallout">
          <a:avLst>
            <a:gd name="adj1" fmla="val -65268"/>
            <a:gd name="adj2" fmla="val 19726"/>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Since these are not  team awards, you will have to "hard code" the entries here.
</a:t>
          </a:r>
          <a:r>
            <a:rPr lang="en-US" cap="none" sz="1100" b="0" i="0" u="none" baseline="0">
              <a:solidFill>
                <a:srgbClr val="000000"/>
              </a:solidFill>
            </a:rPr>
            <a:t>
</a:t>
          </a:r>
          <a:r>
            <a:rPr lang="en-US" cap="none" sz="1100" b="0" i="0" u="none" baseline="0">
              <a:solidFill>
                <a:srgbClr val="000000"/>
              </a:solidFill>
            </a:rPr>
            <a:t>In the column for "Team Name" enter the name of the individual.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9</xdr:col>
      <xdr:colOff>590550</xdr:colOff>
      <xdr:row>76</xdr:row>
      <xdr:rowOff>142875</xdr:rowOff>
    </xdr:to>
    <xdr:sp>
      <xdr:nvSpPr>
        <xdr:cNvPr id="1" name="TextBox 1"/>
        <xdr:cNvSpPr txBox="1">
          <a:spLocks noChangeArrowheads="1"/>
        </xdr:cNvSpPr>
      </xdr:nvSpPr>
      <xdr:spPr>
        <a:xfrm>
          <a:off x="66675" y="57150"/>
          <a:ext cx="6010275" cy="1239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FLL Advancement Policy      </a:t>
          </a:r>
          <a:r>
            <a:rPr lang="en-US" cap="none" sz="1100" b="0" i="1" u="none" baseline="0">
              <a:solidFill>
                <a:srgbClr val="000000"/>
              </a:solidFill>
              <a:latin typeface="Calibri"/>
              <a:ea typeface="Calibri"/>
              <a:cs typeface="Calibri"/>
            </a:rPr>
            <a:t>2014 FLL WORLD CLASS (SM) season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Advancement Percentages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planning their tournament structure, FLL has the following </a:t>
          </a:r>
          <a:r>
            <a:rPr lang="en-US" cap="none" sz="1100" b="1" i="1" u="none" baseline="0">
              <a:solidFill>
                <a:srgbClr val="000000"/>
              </a:solidFill>
              <a:latin typeface="Calibri"/>
              <a:ea typeface="Calibri"/>
              <a:cs typeface="Calibri"/>
            </a:rPr>
            <a:t>recommendations </a:t>
          </a:r>
          <a:r>
            <a:rPr lang="en-US" cap="none" sz="1100" b="0" i="0" u="none" baseline="0">
              <a:solidFill>
                <a:srgbClr val="000000"/>
              </a:solidFill>
              <a:latin typeface="Calibri"/>
              <a:ea typeface="Calibri"/>
              <a:cs typeface="Calibri"/>
            </a:rPr>
            <a:t>for the number of teams to advance: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10% is the minimum percentage of teams that should advance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Around 30% is the recommended percentage of teams to advance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50% is the maximum percentage of teams that should advance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Taking into account FLL recommendations for advancement percentages, the FLL Partner for each region will determine the percentage of teams that will advance for each event. To determine how many teams will advance, multiply the advancement percentage by the total number of teams at the event. Round to the nearest whole number to find the number of teams advancing. 
</a:t>
          </a:r>
          <a:r>
            <a:rPr lang="en-US" cap="none" sz="1100" b="0" i="0" u="none" baseline="0">
              <a:solidFill>
                <a:srgbClr val="000000"/>
              </a:solidFill>
              <a:latin typeface="Calibri"/>
              <a:ea typeface="Calibri"/>
              <a:cs typeface="Calibri"/>
            </a:rPr>
            <a:t>Number of teams advancing = (Advancement %) * (total number of teams at event)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Example: </a:t>
          </a:r>
          <a:r>
            <a:rPr lang="en-US" cap="none" sz="1100" b="0" i="0" u="none" baseline="0">
              <a:solidFill>
                <a:srgbClr val="000000"/>
              </a:solidFill>
              <a:latin typeface="Calibri"/>
              <a:ea typeface="Calibri"/>
              <a:cs typeface="Calibri"/>
            </a:rPr>
            <a:t>A qualifying tournament has space for 12 teams to attend. Starting with an approximately 30% of teams advancing times 12 teams gives 3.6 teams advancing. Rounding up, 4 teams will advance from this event to the next level. The advancement percentage for this event is 4/12 = 33%.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Team Eligibility for Advancement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Teams are eligible for advancement if they meet the following criteria as </a:t>
          </a:r>
          <a:r>
            <a:rPr lang="en-US" cap="none" sz="1100" b="1" i="1" u="none" baseline="0">
              <a:solidFill>
                <a:srgbClr val="000000"/>
              </a:solidFill>
              <a:latin typeface="Calibri"/>
              <a:ea typeface="Calibri"/>
              <a:cs typeface="Calibri"/>
            </a:rPr>
            <a:t>required </a:t>
          </a:r>
          <a:r>
            <a:rPr lang="en-US" cap="none" sz="1100" b="0" i="0" u="none" baseline="0">
              <a:solidFill>
                <a:srgbClr val="000000"/>
              </a:solidFill>
              <a:latin typeface="Calibri"/>
              <a:ea typeface="Calibri"/>
              <a:cs typeface="Calibri"/>
            </a:rPr>
            <a:t>by the FLL Global Standards and Challenge document. Teams must: 
</a:t>
          </a:r>
          <a:r>
            <a:rPr lang="en-US" cap="none" sz="1100" b="0" i="0" u="none" baseline="0">
              <a:solidFill>
                <a:srgbClr val="000000"/>
              </a:solidFill>
              <a:latin typeface="Calibri"/>
              <a:ea typeface="Calibri"/>
              <a:cs typeface="Calibri"/>
            </a:rPr>
            <a:t>- Have between 2 and 10 members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Complete all required sections of the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Have no disqualifying (Red-level) Core Values behaviors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 competing at their first official FLL event of each qualifying level during the season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Perform well in all three judged areas (Core Values, Project, and Robot Design)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Meet the minimum Robot Performance hurdle percentage for advancement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Calculating Robot Performance Advancement Hurdles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FLL Qualifier Advancement Policy is based on the Champion’s Award criteria. The judges at each FLL tournament have the difficult job of determining which teams will advance to the next level.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Teams advancing must meet a minimum “hurdle” percentage in robot game scores in order to advance. FLL Partners are </a:t>
          </a:r>
          <a:r>
            <a:rPr lang="en-US" cap="none" sz="1100" b="1" i="1" u="none" baseline="0">
              <a:solidFill>
                <a:srgbClr val="000000"/>
              </a:solidFill>
              <a:latin typeface="Calibri"/>
              <a:ea typeface="Calibri"/>
              <a:cs typeface="Calibri"/>
            </a:rPr>
            <a:t>required </a:t>
          </a:r>
          <a:r>
            <a:rPr lang="en-US" cap="none" sz="1100" b="0" i="0" u="none" baseline="0">
              <a:solidFill>
                <a:srgbClr val="000000"/>
              </a:solidFill>
              <a:latin typeface="Calibri"/>
              <a:ea typeface="Calibri"/>
              <a:cs typeface="Calibri"/>
            </a:rPr>
            <a:t>to use the following procedure to determine the Robot Game hurdle percentage for advancement: 
</a:t>
          </a:r>
          <a:r>
            <a:rPr lang="en-US" cap="none" sz="1100" b="1" i="0" u="none" baseline="0">
              <a:solidFill>
                <a:srgbClr val="000000"/>
              </a:solidFill>
              <a:latin typeface="Calibri"/>
              <a:ea typeface="Calibri"/>
              <a:cs typeface="Calibri"/>
            </a:rPr>
            <a:t> Advancement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Hurdle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20   40  
</a:t>
          </a:r>
          <a:r>
            <a:rPr lang="en-US" cap="none" sz="1100" b="0" i="0" u="none" baseline="0">
              <a:solidFill>
                <a:srgbClr val="000000"/>
              </a:solidFill>
              <a:latin typeface="Calibri"/>
              <a:ea typeface="Calibri"/>
              <a:cs typeface="Calibri"/>
            </a:rPr>
            <a:t> 25   48  
</a:t>
          </a:r>
          <a:r>
            <a:rPr lang="en-US" cap="none" sz="1100" b="0" i="0" u="none" baseline="0">
              <a:solidFill>
                <a:srgbClr val="000000"/>
              </a:solidFill>
              <a:latin typeface="Calibri"/>
              <a:ea typeface="Calibri"/>
              <a:cs typeface="Calibri"/>
            </a:rPr>
            <a:t> 30   55  
</a:t>
          </a:r>
          <a:r>
            <a:rPr lang="en-US" cap="none" sz="1100" b="0" i="0" u="none" baseline="0">
              <a:solidFill>
                <a:srgbClr val="000000"/>
              </a:solidFill>
              <a:latin typeface="Calibri"/>
              <a:ea typeface="Calibri"/>
              <a:cs typeface="Calibri"/>
            </a:rPr>
            <a:t> 35   62  
</a:t>
          </a:r>
          <a:r>
            <a:rPr lang="en-US" cap="none" sz="1100" b="0" i="0" u="none" baseline="0">
              <a:solidFill>
                <a:srgbClr val="000000"/>
              </a:solidFill>
              <a:latin typeface="Calibri"/>
              <a:ea typeface="Calibri"/>
              <a:cs typeface="Calibri"/>
            </a:rPr>
            <a:t> 40   67  
</a:t>
          </a:r>
          <a:r>
            <a:rPr lang="en-US" cap="none" sz="1100" b="0" i="0" u="none" baseline="0">
              <a:solidFill>
                <a:srgbClr val="000000"/>
              </a:solidFill>
              <a:latin typeface="Calibri"/>
              <a:ea typeface="Calibri"/>
              <a:cs typeface="Calibri"/>
            </a:rPr>
            <a:t> 45   72  
</a:t>
          </a:r>
          <a:r>
            <a:rPr lang="en-US" cap="none" sz="1100" b="0" i="0" u="none" baseline="0">
              <a:solidFill>
                <a:srgbClr val="000000"/>
              </a:solidFill>
              <a:latin typeface="Calibri"/>
              <a:ea typeface="Calibri"/>
              <a:cs typeface="Calibri"/>
            </a:rPr>
            <a:t> 50   75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Calculate the percentage of teams advancing from each event. 
</a:t>
          </a:r>
          <a:r>
            <a:rPr lang="en-US" cap="none" sz="1100" b="0" i="0" u="none" baseline="0">
              <a:solidFill>
                <a:srgbClr val="000000"/>
              </a:solidFill>
              <a:latin typeface="Calibri"/>
              <a:ea typeface="Calibri"/>
              <a:cs typeface="Calibri"/>
            </a:rPr>
            <a:t>2. Round your advancement percentage to the nearest 5. (Follow standard rounding rules.) 
</a:t>
          </a:r>
          <a:r>
            <a:rPr lang="en-US" cap="none" sz="1100" b="0" i="0" u="none" baseline="0">
              <a:solidFill>
                <a:srgbClr val="000000"/>
              </a:solidFill>
              <a:latin typeface="Calibri"/>
              <a:ea typeface="Calibri"/>
              <a:cs typeface="Calibri"/>
            </a:rPr>
            <a:t>3. Locate the rounded advancement percentage in the table. 
</a:t>
          </a:r>
          <a:r>
            <a:rPr lang="en-US" cap="none" sz="1100" b="0" i="0" u="none" baseline="0">
              <a:solidFill>
                <a:srgbClr val="000000"/>
              </a:solidFill>
              <a:latin typeface="Calibri"/>
              <a:ea typeface="Calibri"/>
              <a:cs typeface="Calibri"/>
            </a:rPr>
            <a:t>4. Announce the Robot Performance hurdle percentage for advancement to teams before the event.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tournaments advancing more than 50% of teams, the Robot Performance hurdle percentage for advancement is 75%. FLL Partners must consult with their Partner Services Manager if they wish to use larger Robot Performance hurdle percentage for advancement.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Example: </a:t>
          </a:r>
          <a:r>
            <a:rPr lang="en-US" cap="none" sz="1100" b="0" i="0" u="none" baseline="0">
              <a:solidFill>
                <a:srgbClr val="000000"/>
              </a:solidFill>
              <a:latin typeface="Calibri"/>
              <a:ea typeface="Calibri"/>
              <a:cs typeface="Calibri"/>
            </a:rPr>
            <a:t>33% of teams are advancing from an event. Round 33% up to 35% and consult the table. The advancement hurdle is 62% for this event. If 12 teams are attending the event, 12 x 62% = 7.44 teams. Rounding down to 7 teams means that teams must be in the top 7 scores to be eligible to advance.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Advanced Notice of Robot Performance Advancement Hurdles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FLL Partners are </a:t>
          </a:r>
          <a:r>
            <a:rPr lang="en-US" cap="none" sz="1100" b="1" i="1" u="none" baseline="0">
              <a:solidFill>
                <a:srgbClr val="000000"/>
              </a:solidFill>
              <a:latin typeface="Calibri"/>
              <a:ea typeface="Calibri"/>
              <a:cs typeface="Calibri"/>
            </a:rPr>
            <a:t>required </a:t>
          </a:r>
          <a:r>
            <a:rPr lang="en-US" cap="none" sz="1100" b="0" i="0" u="none" baseline="0">
              <a:solidFill>
                <a:srgbClr val="000000"/>
              </a:solidFill>
              <a:latin typeface="Calibri"/>
              <a:ea typeface="Calibri"/>
              <a:cs typeface="Calibri"/>
            </a:rPr>
            <a:t>to determine the advancement hurdle in advance of each tournament using the table. Further, FLL Partners are </a:t>
          </a:r>
          <a:r>
            <a:rPr lang="en-US" cap="none" sz="1100" b="1" i="1" u="none" baseline="0">
              <a:solidFill>
                <a:srgbClr val="000000"/>
              </a:solidFill>
              <a:latin typeface="Calibri"/>
              <a:ea typeface="Calibri"/>
              <a:cs typeface="Calibri"/>
            </a:rPr>
            <a:t>required </a:t>
          </a:r>
          <a:r>
            <a:rPr lang="en-US" cap="none" sz="1100" b="0" i="0" u="none" baseline="0">
              <a:solidFill>
                <a:srgbClr val="000000"/>
              </a:solidFill>
              <a:latin typeface="Calibri"/>
              <a:ea typeface="Calibri"/>
              <a:cs typeface="Calibri"/>
            </a:rPr>
            <a:t>to announce the advancement hurdle to teams before the tournament. Ideally, the event announcement would include the percentage of teams advancing and the Robot Performance Advancement Hurdle.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Example: </a:t>
          </a:r>
          <a:r>
            <a:rPr lang="en-US" cap="none" sz="1100" b="0" i="0" u="none" baseline="0">
              <a:solidFill>
                <a:srgbClr val="000000"/>
              </a:solidFill>
              <a:latin typeface="Calibri"/>
              <a:ea typeface="Calibri"/>
              <a:cs typeface="Calibri"/>
            </a:rPr>
            <a:t>“There are spaces for 12 teams at this qualifying tournament. The judges will select four teams to advance to the Championship, using the Champions Award criteria. Teams must be in the top 62% of Robot Game scores to be considered for advancement.” 
</a:t>
          </a:r>
          <a:r>
            <a:rPr lang="en-US" cap="none" sz="1100" b="0" i="0" u="none" baseline="0">
              <a:solidFill>
                <a:srgbClr val="000000"/>
              </a:solidFill>
              <a:latin typeface="Calibri"/>
              <a:ea typeface="Calibri"/>
              <a:cs typeface="Calibri"/>
            </a:rPr>
            <a:t>The Robot Performance Advancement Hurdle may </a:t>
          </a:r>
          <a:r>
            <a:rPr lang="en-US" cap="none" sz="1100" b="1" i="1" u="none" baseline="0">
              <a:solidFill>
                <a:srgbClr val="000000"/>
              </a:solidFill>
              <a:latin typeface="Calibri"/>
              <a:ea typeface="Calibri"/>
              <a:cs typeface="Calibri"/>
            </a:rPr>
            <a:t>not </a:t>
          </a:r>
          <a:r>
            <a:rPr lang="en-US" cap="none" sz="1100" b="0" i="0" u="none" baseline="0">
              <a:solidFill>
                <a:srgbClr val="000000"/>
              </a:solidFill>
              <a:latin typeface="Calibri"/>
              <a:ea typeface="Calibri"/>
              <a:cs typeface="Calibri"/>
            </a:rPr>
            <a:t>be changed during deliberations or any other time during the tournament day. The hurdle is considered a fixed barrier that teams must meet or exceed to be considered for Champions Award. This procedure ensures that all teams know the policy and it is applied consistently for all teams and all tournaments.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Champions Award Robot Performance Hurdle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Robot Performance Hurdle for advancement does not impact the hurdle for Champions Awards. </a:t>
          </a:r>
          <a:r>
            <a:rPr lang="en-US" cap="none" sz="1100" b="1" i="0" u="none" baseline="0">
              <a:solidFill>
                <a:srgbClr val="000000"/>
              </a:solidFill>
              <a:latin typeface="Calibri"/>
              <a:ea typeface="Calibri"/>
              <a:cs typeface="Calibri"/>
            </a:rPr>
            <a:t>Teams at all tournaments must be in the top 40% </a:t>
          </a:r>
          <a:r>
            <a:rPr lang="en-US" cap="none" sz="1100" b="0" i="0" u="none" baseline="0">
              <a:solidFill>
                <a:srgbClr val="000000"/>
              </a:solidFill>
              <a:latin typeface="Calibri"/>
              <a:ea typeface="Calibri"/>
              <a:cs typeface="Calibri"/>
            </a:rPr>
            <a:t>of Robot Game Scores to be considered </a:t>
          </a:r>
          <a:r>
            <a:rPr lang="en-US" cap="none" sz="1100" b="1" i="0" u="none" baseline="0">
              <a:solidFill>
                <a:srgbClr val="000000"/>
              </a:solidFill>
              <a:latin typeface="Calibri"/>
              <a:ea typeface="Calibri"/>
              <a:cs typeface="Calibri"/>
            </a:rPr>
            <a:t>for Champions Awards</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66675</xdr:rowOff>
    </xdr:from>
    <xdr:to>
      <xdr:col>14</xdr:col>
      <xdr:colOff>180975</xdr:colOff>
      <xdr:row>13</xdr:row>
      <xdr:rowOff>0</xdr:rowOff>
    </xdr:to>
    <xdr:sp>
      <xdr:nvSpPr>
        <xdr:cNvPr id="1" name="TextBox 1"/>
        <xdr:cNvSpPr txBox="1">
          <a:spLocks noChangeArrowheads="1"/>
        </xdr:cNvSpPr>
      </xdr:nvSpPr>
      <xdr:spPr>
        <a:xfrm>
          <a:off x="133350" y="228600"/>
          <a:ext cx="8582025" cy="1876425"/>
        </a:xfrm>
        <a:prstGeom prst="rect">
          <a:avLst/>
        </a:prstGeom>
        <a:solidFill>
          <a:srgbClr val="95B3D7"/>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It is </a:t>
          </a:r>
          <a:r>
            <a:rPr lang="en-US" cap="none" sz="1200" b="0" i="0" u="sng" baseline="0">
              <a:solidFill>
                <a:srgbClr val="000000"/>
              </a:solidFill>
              <a:latin typeface="Calibri"/>
              <a:ea typeface="Calibri"/>
              <a:cs typeface="Calibri"/>
            </a:rPr>
            <a:t>not</a:t>
          </a:r>
          <a:r>
            <a:rPr lang="en-US" cap="none" sz="1200" b="0" i="0" u="none" baseline="0">
              <a:solidFill>
                <a:srgbClr val="000000"/>
              </a:solidFill>
              <a:latin typeface="Calibri"/>
              <a:ea typeface="Calibri"/>
              <a:cs typeface="Calibri"/>
            </a:rPr>
            <a:t> possible to win the Robot Performance Award without doing the Project.  </a:t>
          </a:r>
          <a:r>
            <a:rPr lang="en-US" cap="none" sz="1200" b="0" i="0" u="sng" baseline="0">
              <a:solidFill>
                <a:srgbClr val="000000"/>
              </a:solidFill>
              <a:latin typeface="Calibri"/>
              <a:ea typeface="Calibri"/>
              <a:cs typeface="Calibri"/>
            </a:rPr>
            <a:t>Teams must participate in all 3 judged areas (Project, Core Values and Robot Design) and the Robot Game to be eligible for any Core Awards</a:t>
          </a:r>
          <a:r>
            <a:rPr lang="en-US" cap="none" sz="1200" b="0" i="0" u="none" baseline="0">
              <a:solidFill>
                <a:srgbClr val="000000"/>
              </a:solidFill>
              <a:latin typeface="Calibri"/>
              <a:ea typeface="Calibri"/>
              <a:cs typeface="Calibri"/>
            </a:rPr>
            <a:t>…and Robot Performance is a Core Awa</a:t>
          </a:r>
          <a:r>
            <a:rPr lang="en-US" cap="none" sz="1200" b="0" i="0" u="none" baseline="0">
              <a:solidFill>
                <a:srgbClr val="000000"/>
              </a:solidFill>
              <a:latin typeface="Calibri"/>
              <a:ea typeface="Calibri"/>
              <a:cs typeface="Calibri"/>
            </a:rPr>
            <a:t>rd.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 is possible for a team to receive a 1st Place Core Award but not advance to Championship based on a Robot Performance score below the top 40% of teams at the event.  Or, a team may win 1st Place in Robot Performance but not advance to Championship due to not having performed well in one or more of the three judged areas.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http://firstlegoleague.org/event/judgingfaq
</a:t>
          </a:r>
          <a:r>
            <a:rPr lang="en-US" cap="none" sz="1200" b="1" i="0" u="none" baseline="0">
              <a:solidFill>
                <a:srgbClr val="000000"/>
              </a:solidFill>
              <a:latin typeface="Calibri"/>
              <a:ea typeface="Calibri"/>
              <a:cs typeface="Calibri"/>
            </a:rPr>
            <a:t>
</a:t>
          </a:r>
        </a:p>
      </xdr:txBody>
    </xdr:sp>
    <xdr:clientData/>
  </xdr:twoCellAnchor>
  <xdr:twoCellAnchor>
    <xdr:from>
      <xdr:col>0</xdr:col>
      <xdr:colOff>95250</xdr:colOff>
      <xdr:row>13</xdr:row>
      <xdr:rowOff>133350</xdr:rowOff>
    </xdr:from>
    <xdr:to>
      <xdr:col>14</xdr:col>
      <xdr:colOff>190500</xdr:colOff>
      <xdr:row>22</xdr:row>
      <xdr:rowOff>95250</xdr:rowOff>
    </xdr:to>
    <xdr:sp>
      <xdr:nvSpPr>
        <xdr:cNvPr id="2" name="TextBox 2"/>
        <xdr:cNvSpPr txBox="1">
          <a:spLocks noChangeArrowheads="1"/>
        </xdr:cNvSpPr>
      </xdr:nvSpPr>
      <xdr:spPr>
        <a:xfrm>
          <a:off x="95250" y="2238375"/>
          <a:ext cx="8629650" cy="1419225"/>
        </a:xfrm>
        <a:prstGeom prst="rect">
          <a:avLst/>
        </a:prstGeom>
        <a:solidFill>
          <a:srgbClr val="92D05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Champion’s Award criteria require that the team, performs well in all three judged areas (Project, Robot Design </a:t>
          </a:r>
          <a:r>
            <a:rPr lang="en-US" cap="none" sz="1200" b="0" i="0" u="sng" baseline="0">
              <a:solidFill>
                <a:srgbClr val="000000"/>
              </a:solidFill>
              <a:latin typeface="Calibri"/>
              <a:ea typeface="Calibri"/>
              <a:cs typeface="Calibri"/>
            </a:rPr>
            <a:t>and</a:t>
          </a:r>
          <a:r>
            <a:rPr lang="en-US" cap="none" sz="1200" b="0" i="0" u="none" baseline="0">
              <a:solidFill>
                <a:srgbClr val="000000"/>
              </a:solidFill>
              <a:latin typeface="Calibri"/>
              <a:ea typeface="Calibri"/>
              <a:cs typeface="Calibri"/>
            </a:rPr>
            <a:t> Core Values) and receives a Robot Performance score in the top 40% of official Robot rounds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If &gt;20% of teams advance, the 40% Robot Performance hurdle may be adjusted in advance of the event to reflect up to twice the percentage of advancing teams.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http://firstlegoleague.org/event/judgingfaq</a:t>
          </a:r>
        </a:p>
      </xdr:txBody>
    </xdr:sp>
    <xdr:clientData/>
  </xdr:twoCellAnchor>
  <xdr:twoCellAnchor editAs="oneCell">
    <xdr:from>
      <xdr:col>0</xdr:col>
      <xdr:colOff>85725</xdr:colOff>
      <xdr:row>27</xdr:row>
      <xdr:rowOff>123825</xdr:rowOff>
    </xdr:from>
    <xdr:to>
      <xdr:col>14</xdr:col>
      <xdr:colOff>95250</xdr:colOff>
      <xdr:row>43</xdr:row>
      <xdr:rowOff>57150</xdr:rowOff>
    </xdr:to>
    <xdr:pic>
      <xdr:nvPicPr>
        <xdr:cNvPr id="3" name="Picture 1428"/>
        <xdr:cNvPicPr preferRelativeResize="1">
          <a:picLocks noChangeAspect="1"/>
        </xdr:cNvPicPr>
      </xdr:nvPicPr>
      <xdr:blipFill>
        <a:blip r:embed="rId1"/>
        <a:stretch>
          <a:fillRect/>
        </a:stretch>
      </xdr:blipFill>
      <xdr:spPr>
        <a:xfrm>
          <a:off x="85725" y="4495800"/>
          <a:ext cx="8543925" cy="2524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104775</xdr:rowOff>
    </xdr:from>
    <xdr:to>
      <xdr:col>9</xdr:col>
      <xdr:colOff>542925</xdr:colOff>
      <xdr:row>53</xdr:row>
      <xdr:rowOff>66675</xdr:rowOff>
    </xdr:to>
    <xdr:sp>
      <xdr:nvSpPr>
        <xdr:cNvPr id="1" name="TextBox 1"/>
        <xdr:cNvSpPr txBox="1">
          <a:spLocks noChangeArrowheads="1"/>
        </xdr:cNvSpPr>
      </xdr:nvSpPr>
      <xdr:spPr>
        <a:xfrm>
          <a:off x="28575" y="104775"/>
          <a:ext cx="6000750" cy="85439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REVISIONS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Revision</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Date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1.0 11/22/2011 Initial release for the Food Factor FLL Challenge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11/23/2011 Added clear entries feature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 11/23/2011 Clarified which fields should be entered vs. calculated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 </a:t>
          </a:r>
          <a:r>
            <a:rPr lang="en-US" cap="none" sz="1100" b="0" i="0" u="none" baseline="0">
              <a:solidFill>
                <a:srgbClr val="000000"/>
              </a:solidFill>
              <a:latin typeface="Calibri"/>
              <a:ea typeface="Calibri"/>
              <a:cs typeface="Calibri"/>
            </a:rPr>
            <a:t>11/23/2011 Bug fix
</a:t>
          </a:r>
          <a:r>
            <a:rPr lang="en-US" cap="none" sz="1100" b="0" i="0" u="none" baseline="0">
              <a:solidFill>
                <a:srgbClr val="000000"/>
              </a:solidFill>
              <a:latin typeface="Calibri"/>
              <a:ea typeface="Calibri"/>
              <a:cs typeface="Calibri"/>
            </a:rPr>
            <a:t>1.4 11/24/2011 Revised the overall score calculation
</a:t>
          </a:r>
          <a:r>
            <a:rPr lang="en-US" cap="none" sz="1100" b="0" i="0" u="none" baseline="0">
              <a:solidFill>
                <a:srgbClr val="000000"/>
              </a:solidFill>
              <a:latin typeface="Calibri"/>
              <a:ea typeface="Calibri"/>
              <a:cs typeface="Calibri"/>
            </a:rPr>
            <a:t>1.5 11/24/2011 Added number of teams advancing calculation
</a:t>
          </a:r>
          <a:r>
            <a:rPr lang="en-US" cap="none" sz="1100" b="0" i="0" u="none" baseline="0">
              <a:solidFill>
                <a:srgbClr val="000000"/>
              </a:solidFill>
              <a:latin typeface="Calibri"/>
              <a:ea typeface="Calibri"/>
              <a:cs typeface="Calibri"/>
            </a:rPr>
            <a:t>1.6 12/1/2011 Revised automatic formatting areas
</a:t>
          </a:r>
          <a:r>
            <a:rPr lang="en-US" cap="none" sz="1100" b="0" i="0" u="none" baseline="0">
              <a:solidFill>
                <a:srgbClr val="000000"/>
              </a:solidFill>
              <a:latin typeface="Calibri"/>
              <a:ea typeface="Calibri"/>
              <a:cs typeface="Calibri"/>
            </a:rPr>
            <a:t>2.0 12/2/2011 Eliminated weighting factors (using only raw scores)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 1/16/2012 Completely restructured the tool
</a:t>
          </a:r>
          <a:r>
            <a:rPr lang="en-US" cap="none" sz="1100" b="0" i="0" u="none" baseline="0">
              <a:solidFill>
                <a:srgbClr val="000000"/>
              </a:solidFill>
              <a:latin typeface="Calibri"/>
              <a:ea typeface="Calibri"/>
              <a:cs typeface="Calibri"/>
            </a:rPr>
            <a:t>5.0  1/16/2012 Added clear function
</a:t>
          </a:r>
          <a:r>
            <a:rPr lang="en-US" cap="none" sz="1100" b="0" i="0" u="none" baseline="0">
              <a:solidFill>
                <a:srgbClr val="000000"/>
              </a:solidFill>
              <a:latin typeface="Calibri"/>
              <a:ea typeface="Calibri"/>
              <a:cs typeface="Calibri"/>
            </a:rPr>
            <a:t>6.0 10/10/2012 Updated Instructions. Upgraded to 32 teams.
</a:t>
          </a:r>
          <a:r>
            <a:rPr lang="en-US" cap="none" sz="1100" b="0" i="0" u="none" baseline="0">
              <a:solidFill>
                <a:srgbClr val="000000"/>
              </a:solidFill>
              <a:latin typeface="Calibri"/>
              <a:ea typeface="Calibri"/>
              <a:cs typeface="Calibri"/>
            </a:rPr>
            <a:t>6.1 10/25/2012 Revised to be compatible with MS Excel 97-2003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6.2 11/7/2012 Eliminated 400 point maximum score limit on Robot Performance
</a:t>
          </a:r>
          <a:r>
            <a:rPr lang="en-US" cap="none" sz="1100" b="0" i="0" u="none" baseline="0">
              <a:solidFill>
                <a:srgbClr val="000000"/>
              </a:solidFill>
              <a:latin typeface="Calibri"/>
              <a:ea typeface="Calibri"/>
              <a:cs typeface="Calibri"/>
            </a:rPr>
            <a:t>6.3 11/9/2012 Eliminated hard-coded "ineligible" for teams below hurdle
</a:t>
          </a:r>
          <a:r>
            <a:rPr lang="en-US" cap="none" sz="1100" b="0" i="0" u="none" baseline="0">
              <a:solidFill>
                <a:srgbClr val="000000"/>
              </a:solidFill>
              <a:latin typeface="Calibri"/>
              <a:ea typeface="Calibri"/>
              <a:cs typeface="Calibri"/>
            </a:rPr>
            <a:t>7.0 12/8/2012 Revised robot performance sorting to include breaking ties
</a:t>
          </a:r>
          <a:r>
            <a:rPr lang="en-US" cap="none" sz="1100" b="0" i="0" u="none" baseline="0">
              <a:solidFill>
                <a:srgbClr val="000000"/>
              </a:solidFill>
              <a:latin typeface="Calibri"/>
              <a:ea typeface="Calibri"/>
              <a:cs typeface="Calibri"/>
            </a:rPr>
            <a:t>  Upgraded to handle 100+ teams
</a:t>
          </a:r>
          <a:r>
            <a:rPr lang="en-US" cap="none" sz="1100" b="0" i="0" u="none" baseline="0">
              <a:solidFill>
                <a:srgbClr val="000000"/>
              </a:solidFill>
              <a:latin typeface="Calibri"/>
              <a:ea typeface="Calibri"/>
              <a:cs typeface="Calibri"/>
            </a:rPr>
            <a:t>7.1 12/9/2012 Revised Judged Area analysis worksheet format
</a:t>
          </a:r>
          <a:r>
            <a:rPr lang="en-US" cap="none" sz="1100" b="0" i="0" u="none" baseline="0">
              <a:solidFill>
                <a:srgbClr val="000000"/>
              </a:solidFill>
              <a:latin typeface="Calibri"/>
              <a:ea typeface="Calibri"/>
              <a:cs typeface="Calibri"/>
            </a:rPr>
            <a:t>  Added standard devation to Champions Award sorting logic
</a:t>
          </a:r>
          <a:r>
            <a:rPr lang="en-US" cap="none" sz="1100" b="0" i="0" u="none" baseline="0">
              <a:solidFill>
                <a:srgbClr val="000000"/>
              </a:solidFill>
              <a:latin typeface="Calibri"/>
              <a:ea typeface="Calibri"/>
              <a:cs typeface="Calibri"/>
            </a:rPr>
            <a:t>  Added awards ceremony scripts
</a:t>
          </a:r>
          <a:r>
            <a:rPr lang="en-US" cap="none" sz="1100" b="0" i="0" u="none" baseline="0">
              <a:solidFill>
                <a:srgbClr val="000000"/>
              </a:solidFill>
              <a:latin typeface="Calibri"/>
              <a:ea typeface="Calibri"/>
              <a:cs typeface="Calibri"/>
            </a:rPr>
            <a:t>8.0 12/13/2012 Major revision
</a:t>
          </a:r>
          <a:r>
            <a:rPr lang="en-US" cap="none" sz="1100" b="0" i="0" u="none" baseline="0">
              <a:solidFill>
                <a:srgbClr val="000000"/>
              </a:solidFill>
              <a:latin typeface="Calibri"/>
              <a:ea typeface="Calibri"/>
              <a:cs typeface="Calibri"/>
            </a:rPr>
            <a:t>8.1 12/13/2012 Updated formatting
</a:t>
          </a:r>
          <a:r>
            <a:rPr lang="en-US" cap="none" sz="1100" b="0" i="0" u="none" baseline="0">
              <a:solidFill>
                <a:srgbClr val="000000"/>
              </a:solidFill>
              <a:latin typeface="Calibri"/>
              <a:ea typeface="Calibri"/>
              <a:cs typeface="Calibri"/>
            </a:rPr>
            <a:t>8.2 12/20/2012 Added warning dialog box before clearing the sheets
</a:t>
          </a:r>
          <a:r>
            <a:rPr lang="en-US" cap="none" sz="1100" b="0" i="0" u="none" baseline="0">
              <a:solidFill>
                <a:srgbClr val="000000"/>
              </a:solidFill>
              <a:latin typeface="Calibri"/>
              <a:ea typeface="Calibri"/>
              <a:cs typeface="Calibri"/>
            </a:rPr>
            <a:t>8.3 12/21/2012 Added additional optional awards
</a:t>
          </a:r>
          <a:r>
            <a:rPr lang="en-US" cap="none" sz="1100" b="0" i="0" u="none" baseline="0">
              <a:solidFill>
                <a:srgbClr val="000000"/>
              </a:solidFill>
              <a:latin typeface="Calibri"/>
              <a:ea typeface="Calibri"/>
              <a:cs typeface="Calibri"/>
            </a:rPr>
            <a:t>2014.1 10/28/2014 Incorporated new advancement hurdle policy for 2104 World Class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Send any comments and feedback to RobotBillMD@gmail.com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xdr:row>
      <xdr:rowOff>28575</xdr:rowOff>
    </xdr:from>
    <xdr:to>
      <xdr:col>8</xdr:col>
      <xdr:colOff>0</xdr:colOff>
      <xdr:row>2</xdr:row>
      <xdr:rowOff>457200</xdr:rowOff>
    </xdr:to>
    <xdr:sp>
      <xdr:nvSpPr>
        <xdr:cNvPr id="1" name="TextBox 2">
          <a:hlinkClick r:id="rId1"/>
        </xdr:cNvPr>
        <xdr:cNvSpPr txBox="1">
          <a:spLocks noChangeArrowheads="1"/>
        </xdr:cNvSpPr>
      </xdr:nvSpPr>
      <xdr:spPr>
        <a:xfrm>
          <a:off x="6296025" y="190500"/>
          <a:ext cx="3895725" cy="895350"/>
        </a:xfrm>
        <a:prstGeom prst="rect">
          <a:avLst/>
        </a:prstGeom>
        <a:solidFill>
          <a:srgbClr val="92D050"/>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http://firstlegoleague.org/event/judgingfaq</a:t>
          </a:r>
        </a:p>
      </xdr:txBody>
    </xdr:sp>
    <xdr:clientData/>
  </xdr:twoCellAnchor>
  <xdr:oneCellAnchor>
    <xdr:from>
      <xdr:col>1</xdr:col>
      <xdr:colOff>457200</xdr:colOff>
      <xdr:row>4</xdr:row>
      <xdr:rowOff>238125</xdr:rowOff>
    </xdr:from>
    <xdr:ext cx="12687300" cy="2028825"/>
    <xdr:sp>
      <xdr:nvSpPr>
        <xdr:cNvPr id="2" name="Rectangle 1"/>
        <xdr:cNvSpPr>
          <a:spLocks/>
        </xdr:cNvSpPr>
      </xdr:nvSpPr>
      <xdr:spPr>
        <a:xfrm rot="20309260">
          <a:off x="771525" y="1905000"/>
          <a:ext cx="12687300" cy="2028825"/>
        </a:xfrm>
        <a:prstGeom prst="rect">
          <a:avLst/>
        </a:prstGeom>
        <a:noFill/>
        <a:ln w="9525" cmpd="sng">
          <a:noFill/>
        </a:ln>
      </xdr:spPr>
      <xdr:txBody>
        <a:bodyPr vertOverflow="clip" wrap="square">
          <a:spAutoFit/>
        </a:bodyPr>
        <a:p>
          <a:pPr algn="ctr">
            <a:defRPr/>
          </a:pPr>
          <a:r>
            <a:rPr lang="en-US" cap="none" sz="11500" b="1" i="0" u="none" baseline="0"/>
            <a:t>No Need to Change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3"/>
  <dimension ref="Q30:Q30"/>
  <sheetViews>
    <sheetView showGridLines="0" showRowColHeaders="0" zoomScalePageLayoutView="0" workbookViewId="0" topLeftCell="A1">
      <selection activeCell="E49" sqref="E49"/>
    </sheetView>
  </sheetViews>
  <sheetFormatPr defaultColWidth="9.140625" defaultRowHeight="12.75"/>
  <sheetData>
    <row r="30" ht="12.75">
      <c r="Q30" s="42"/>
    </row>
  </sheetData>
  <sheetProtection/>
  <printOptions/>
  <pageMargins left="0.7" right="0.7" top="0.39" bottom="0.75" header="0.3" footer="0.3"/>
  <pageSetup horizontalDpi="1200" verticalDpi="1200" orientation="landscape" r:id="rId2"/>
  <drawing r:id="rId1"/>
</worksheet>
</file>

<file path=xl/worksheets/sheet10.xml><?xml version="1.0" encoding="utf-8"?>
<worksheet xmlns="http://schemas.openxmlformats.org/spreadsheetml/2006/main" xmlns:r="http://schemas.openxmlformats.org/officeDocument/2006/relationships">
  <sheetPr codeName="Sheet6"/>
  <dimension ref="A1:A1"/>
  <sheetViews>
    <sheetView showGridLines="0" showRowColHeaders="0" zoomScale="150" zoomScaleNormal="150" zoomScalePageLayoutView="0" workbookViewId="0" topLeftCell="A19">
      <selection activeCell="M23" sqref="M23"/>
    </sheetView>
  </sheetViews>
  <sheetFormatPr defaultColWidth="9.140625" defaultRowHeight="12.75"/>
  <sheetData/>
  <sheetProtection/>
  <printOptions/>
  <pageMargins left="0.7" right="0.7" top="0.75" bottom="0.75" header="0.3" footer="0.3"/>
  <pageSetup horizontalDpi="1200" verticalDpi="1200" orientation="portrait" r:id="rId2"/>
  <drawing r:id="rId1"/>
</worksheet>
</file>

<file path=xl/worksheets/sheet11.xml><?xml version="1.0" encoding="utf-8"?>
<worksheet xmlns="http://schemas.openxmlformats.org/spreadsheetml/2006/main" xmlns:r="http://schemas.openxmlformats.org/officeDocument/2006/relationships">
  <sheetPr codeName="Sheet10"/>
  <dimension ref="B2:S115"/>
  <sheetViews>
    <sheetView zoomScale="90" zoomScaleNormal="90" zoomScalePageLayoutView="0" workbookViewId="0" topLeftCell="A1">
      <pane ySplit="2" topLeftCell="A3" activePane="bottomLeft" state="frozen"/>
      <selection pane="topLeft" activeCell="A1" sqref="A1"/>
      <selection pane="bottomLeft" activeCell="P2" sqref="P2:P115"/>
    </sheetView>
  </sheetViews>
  <sheetFormatPr defaultColWidth="9.28125" defaultRowHeight="12.75"/>
  <cols>
    <col min="1" max="1" width="6.00390625" style="0" customWidth="1"/>
    <col min="2" max="2" width="14.00390625" style="0" bestFit="1" customWidth="1"/>
    <col min="3" max="3" width="34.7109375" style="0" bestFit="1" customWidth="1"/>
    <col min="4" max="4" width="5.00390625" style="0" bestFit="1" customWidth="1"/>
    <col min="5" max="5" width="12.8515625" style="0" bestFit="1" customWidth="1"/>
    <col min="6" max="6" width="72.421875" style="0" bestFit="1" customWidth="1"/>
    <col min="7" max="7" width="9.28125" style="0" customWidth="1"/>
    <col min="8" max="8" width="8.28125" style="0" bestFit="1" customWidth="1"/>
    <col min="9" max="9" width="8.7109375" style="0" bestFit="1" customWidth="1"/>
    <col min="10" max="10" width="8.28125" style="0" bestFit="1" customWidth="1"/>
    <col min="11" max="11" width="9.28125" style="0" customWidth="1"/>
    <col min="12" max="14" width="8.421875" style="0" bestFit="1" customWidth="1"/>
    <col min="15" max="15" width="9.28125" style="0" customWidth="1"/>
    <col min="16" max="16" width="7.28125" style="0" bestFit="1" customWidth="1"/>
    <col min="17" max="17" width="9.28125" style="0" customWidth="1"/>
    <col min="18" max="18" width="5.8515625" style="0" bestFit="1" customWidth="1"/>
    <col min="19" max="19" width="23.421875" style="0" bestFit="1" customWidth="1"/>
  </cols>
  <sheetData>
    <row r="2" spans="2:19" ht="36">
      <c r="B2" s="54" t="s">
        <v>27</v>
      </c>
      <c r="C2" s="54" t="s">
        <v>28</v>
      </c>
      <c r="D2" s="54" t="s">
        <v>46</v>
      </c>
      <c r="E2" s="54" t="s">
        <v>45</v>
      </c>
      <c r="F2" s="54" t="s">
        <v>128</v>
      </c>
      <c r="H2" s="36" t="s">
        <v>2</v>
      </c>
      <c r="I2" s="36" t="s">
        <v>5</v>
      </c>
      <c r="J2" s="36" t="s">
        <v>6</v>
      </c>
      <c r="L2" s="17" t="s">
        <v>7</v>
      </c>
      <c r="M2" s="17" t="s">
        <v>8</v>
      </c>
      <c r="N2" s="17" t="s">
        <v>9</v>
      </c>
      <c r="P2" s="56" t="s">
        <v>115</v>
      </c>
      <c r="R2" s="56" t="s">
        <v>157</v>
      </c>
      <c r="S2" s="36" t="s">
        <v>163</v>
      </c>
    </row>
    <row r="3" spans="2:19" ht="27">
      <c r="B3">
        <v>1</v>
      </c>
      <c r="C3" t="s">
        <v>236</v>
      </c>
      <c r="D3" s="47">
        <v>1</v>
      </c>
      <c r="F3" s="46" t="s">
        <v>336</v>
      </c>
      <c r="H3" s="6">
        <v>13</v>
      </c>
      <c r="I3" s="6">
        <v>62</v>
      </c>
      <c r="J3" s="6">
        <v>87</v>
      </c>
      <c r="L3" s="32">
        <v>107</v>
      </c>
      <c r="M3" s="32">
        <v>214</v>
      </c>
      <c r="N3" s="32">
        <v>321</v>
      </c>
      <c r="P3" s="57" t="s">
        <v>53</v>
      </c>
      <c r="R3" s="57"/>
      <c r="S3" s="8" t="s">
        <v>234</v>
      </c>
    </row>
    <row r="4" spans="2:19" ht="27">
      <c r="B4">
        <v>4</v>
      </c>
      <c r="C4" t="s">
        <v>237</v>
      </c>
      <c r="D4" s="47">
        <v>2</v>
      </c>
      <c r="F4" s="46" t="s">
        <v>337</v>
      </c>
      <c r="H4" s="6">
        <v>15</v>
      </c>
      <c r="I4" s="6">
        <v>64</v>
      </c>
      <c r="J4" s="6">
        <v>89</v>
      </c>
      <c r="L4" s="32">
        <v>106</v>
      </c>
      <c r="M4" s="32">
        <v>212</v>
      </c>
      <c r="N4" s="32">
        <v>318</v>
      </c>
      <c r="P4" s="57"/>
      <c r="R4" s="57"/>
      <c r="S4" s="8"/>
    </row>
    <row r="5" spans="2:19" ht="27">
      <c r="B5">
        <v>7</v>
      </c>
      <c r="C5" t="s">
        <v>30</v>
      </c>
      <c r="D5" s="47">
        <v>3</v>
      </c>
      <c r="F5" s="46" t="s">
        <v>338</v>
      </c>
      <c r="H5" s="6">
        <v>18</v>
      </c>
      <c r="I5" s="6">
        <v>67</v>
      </c>
      <c r="J5" s="6">
        <v>92</v>
      </c>
      <c r="L5" s="32">
        <v>105</v>
      </c>
      <c r="M5" s="32">
        <v>210</v>
      </c>
      <c r="N5" s="32">
        <v>315</v>
      </c>
      <c r="P5" s="57"/>
      <c r="R5" s="57"/>
      <c r="S5" s="8"/>
    </row>
    <row r="6" spans="2:19" ht="27">
      <c r="B6">
        <v>8</v>
      </c>
      <c r="C6" t="s">
        <v>238</v>
      </c>
      <c r="D6" s="47">
        <v>4</v>
      </c>
      <c r="E6" s="46" t="s">
        <v>15</v>
      </c>
      <c r="F6" s="46" t="s">
        <v>339</v>
      </c>
      <c r="H6" s="6">
        <v>20</v>
      </c>
      <c r="I6" s="6">
        <v>69</v>
      </c>
      <c r="J6" s="6">
        <v>94</v>
      </c>
      <c r="L6" s="32">
        <v>104</v>
      </c>
      <c r="M6" s="32">
        <v>208</v>
      </c>
      <c r="N6" s="32">
        <v>312</v>
      </c>
      <c r="P6" s="57"/>
      <c r="R6" s="57"/>
      <c r="S6" s="8"/>
    </row>
    <row r="7" spans="2:19" ht="27">
      <c r="B7">
        <v>11</v>
      </c>
      <c r="C7" t="s">
        <v>239</v>
      </c>
      <c r="D7" s="47">
        <v>5</v>
      </c>
      <c r="F7" s="46" t="s">
        <v>340</v>
      </c>
      <c r="H7" s="6">
        <v>24</v>
      </c>
      <c r="I7" s="6">
        <v>73</v>
      </c>
      <c r="J7" s="6">
        <v>98</v>
      </c>
      <c r="L7" s="32">
        <v>103</v>
      </c>
      <c r="M7" s="32">
        <v>206</v>
      </c>
      <c r="N7" s="32">
        <v>309</v>
      </c>
      <c r="P7" s="57"/>
      <c r="R7" s="57"/>
      <c r="S7" s="8"/>
    </row>
    <row r="8" spans="2:19" ht="27">
      <c r="B8">
        <v>16</v>
      </c>
      <c r="C8" t="s">
        <v>240</v>
      </c>
      <c r="D8" s="47">
        <v>6</v>
      </c>
      <c r="E8" t="s">
        <v>15</v>
      </c>
      <c r="F8" s="46" t="s">
        <v>341</v>
      </c>
      <c r="H8" s="6">
        <v>27</v>
      </c>
      <c r="I8" s="6">
        <v>76</v>
      </c>
      <c r="J8" s="6">
        <v>101</v>
      </c>
      <c r="L8" s="32">
        <v>102</v>
      </c>
      <c r="M8" s="32">
        <v>204</v>
      </c>
      <c r="N8" s="32">
        <v>306</v>
      </c>
      <c r="P8" s="57"/>
      <c r="R8" s="57"/>
      <c r="S8" s="8"/>
    </row>
    <row r="9" spans="2:19" ht="27">
      <c r="B9">
        <v>20</v>
      </c>
      <c r="C9" t="s">
        <v>241</v>
      </c>
      <c r="D9" s="47">
        <v>7</v>
      </c>
      <c r="F9" s="46" t="s">
        <v>342</v>
      </c>
      <c r="H9" s="6">
        <v>30</v>
      </c>
      <c r="I9" s="6">
        <v>79</v>
      </c>
      <c r="J9" s="6">
        <v>104</v>
      </c>
      <c r="L9" s="32">
        <v>101</v>
      </c>
      <c r="M9" s="32">
        <v>202</v>
      </c>
      <c r="N9" s="32">
        <v>303</v>
      </c>
      <c r="P9" s="57"/>
      <c r="R9" s="57"/>
      <c r="S9" s="8"/>
    </row>
    <row r="10" spans="2:19" ht="27">
      <c r="B10">
        <v>21</v>
      </c>
      <c r="C10" t="s">
        <v>242</v>
      </c>
      <c r="D10" s="47">
        <v>8</v>
      </c>
      <c r="F10" s="46" t="s">
        <v>343</v>
      </c>
      <c r="H10" s="6">
        <v>33</v>
      </c>
      <c r="I10" s="6">
        <v>82</v>
      </c>
      <c r="J10" s="6">
        <v>107</v>
      </c>
      <c r="L10" s="32">
        <v>100</v>
      </c>
      <c r="M10" s="32">
        <v>200</v>
      </c>
      <c r="N10" s="32">
        <v>300</v>
      </c>
      <c r="P10" s="57"/>
      <c r="R10" s="57"/>
      <c r="S10" s="8"/>
    </row>
    <row r="11" spans="2:19" ht="27">
      <c r="B11">
        <v>23</v>
      </c>
      <c r="C11" t="s">
        <v>243</v>
      </c>
      <c r="D11" s="47">
        <v>9</v>
      </c>
      <c r="F11" s="46" t="s">
        <v>344</v>
      </c>
      <c r="H11" s="6">
        <v>36</v>
      </c>
      <c r="I11" s="6">
        <v>85</v>
      </c>
      <c r="J11" s="6">
        <v>110</v>
      </c>
      <c r="L11" s="32">
        <v>99</v>
      </c>
      <c r="M11" s="32">
        <v>198</v>
      </c>
      <c r="N11" s="32">
        <v>297</v>
      </c>
      <c r="P11" s="57"/>
      <c r="R11" s="57"/>
      <c r="S11" s="8"/>
    </row>
    <row r="12" spans="2:19" ht="27">
      <c r="B12">
        <v>25</v>
      </c>
      <c r="C12" t="s">
        <v>244</v>
      </c>
      <c r="D12" s="47">
        <v>10</v>
      </c>
      <c r="F12" s="46" t="s">
        <v>345</v>
      </c>
      <c r="H12" s="6">
        <v>38</v>
      </c>
      <c r="I12" s="6">
        <v>87</v>
      </c>
      <c r="J12" s="6">
        <v>112</v>
      </c>
      <c r="L12" s="32">
        <v>97</v>
      </c>
      <c r="M12" s="32">
        <v>194</v>
      </c>
      <c r="N12" s="32">
        <v>291</v>
      </c>
      <c r="P12" s="57"/>
      <c r="R12" s="57"/>
      <c r="S12" s="8"/>
    </row>
    <row r="13" spans="2:19" ht="27">
      <c r="B13">
        <v>27</v>
      </c>
      <c r="C13" t="s">
        <v>31</v>
      </c>
      <c r="D13" s="47">
        <v>11</v>
      </c>
      <c r="E13" t="s">
        <v>15</v>
      </c>
      <c r="F13" s="46" t="s">
        <v>346</v>
      </c>
      <c r="H13" s="6">
        <v>42</v>
      </c>
      <c r="I13" s="6">
        <v>91</v>
      </c>
      <c r="J13" s="6">
        <v>3</v>
      </c>
      <c r="L13" s="32">
        <v>96</v>
      </c>
      <c r="M13" s="32">
        <v>192</v>
      </c>
      <c r="N13" s="32">
        <v>288</v>
      </c>
      <c r="P13" s="57" t="s">
        <v>93</v>
      </c>
      <c r="R13" s="57" t="s">
        <v>148</v>
      </c>
      <c r="S13" s="8" t="s">
        <v>233</v>
      </c>
    </row>
    <row r="14" spans="2:19" ht="27">
      <c r="B14">
        <v>28</v>
      </c>
      <c r="C14" t="s">
        <v>245</v>
      </c>
      <c r="D14" s="47">
        <v>12</v>
      </c>
      <c r="E14" t="s">
        <v>15</v>
      </c>
      <c r="F14" s="46" t="s">
        <v>347</v>
      </c>
      <c r="H14" s="6">
        <v>45</v>
      </c>
      <c r="I14" s="6">
        <v>94</v>
      </c>
      <c r="J14" s="6">
        <v>6</v>
      </c>
      <c r="L14" s="32">
        <v>95</v>
      </c>
      <c r="M14" s="32">
        <v>190</v>
      </c>
      <c r="N14" s="32">
        <v>285</v>
      </c>
      <c r="P14" s="57" t="s">
        <v>65</v>
      </c>
      <c r="R14" s="57" t="s">
        <v>159</v>
      </c>
      <c r="S14" s="8" t="s">
        <v>233</v>
      </c>
    </row>
    <row r="15" spans="2:19" ht="27">
      <c r="B15">
        <v>31</v>
      </c>
      <c r="C15" t="s">
        <v>246</v>
      </c>
      <c r="D15" s="47">
        <v>13</v>
      </c>
      <c r="F15" s="46" t="s">
        <v>348</v>
      </c>
      <c r="H15" s="6">
        <v>48</v>
      </c>
      <c r="I15" s="6">
        <v>97</v>
      </c>
      <c r="J15" s="6">
        <v>9</v>
      </c>
      <c r="L15" s="32">
        <v>94</v>
      </c>
      <c r="M15" s="32">
        <v>188</v>
      </c>
      <c r="N15" s="32">
        <v>282</v>
      </c>
      <c r="P15" s="57"/>
      <c r="R15" s="57"/>
      <c r="S15" s="8"/>
    </row>
    <row r="16" spans="2:19" ht="27">
      <c r="B16">
        <v>33</v>
      </c>
      <c r="C16" t="s">
        <v>247</v>
      </c>
      <c r="D16" s="47">
        <v>14</v>
      </c>
      <c r="F16" s="46" t="s">
        <v>349</v>
      </c>
      <c r="H16" s="6">
        <v>51</v>
      </c>
      <c r="I16" s="6">
        <v>100</v>
      </c>
      <c r="J16" s="6">
        <v>12</v>
      </c>
      <c r="L16" s="32">
        <v>93</v>
      </c>
      <c r="M16" s="32">
        <v>186</v>
      </c>
      <c r="N16" s="32">
        <v>279</v>
      </c>
      <c r="P16" s="57"/>
      <c r="R16" s="57"/>
      <c r="S16" s="8"/>
    </row>
    <row r="17" spans="2:19" ht="27">
      <c r="B17">
        <v>34</v>
      </c>
      <c r="C17" t="s">
        <v>248</v>
      </c>
      <c r="D17" s="47">
        <v>15</v>
      </c>
      <c r="F17" s="46" t="s">
        <v>350</v>
      </c>
      <c r="H17" s="6">
        <v>77</v>
      </c>
      <c r="I17" s="6">
        <v>13</v>
      </c>
      <c r="J17" s="6">
        <v>38</v>
      </c>
      <c r="L17" s="32">
        <v>92</v>
      </c>
      <c r="M17" s="32">
        <v>184</v>
      </c>
      <c r="N17" s="32">
        <v>276</v>
      </c>
      <c r="P17" s="57" t="s">
        <v>73</v>
      </c>
      <c r="R17" s="57" t="s">
        <v>146</v>
      </c>
      <c r="S17" s="8"/>
    </row>
    <row r="18" spans="2:19" ht="27">
      <c r="B18">
        <v>41</v>
      </c>
      <c r="C18" t="s">
        <v>249</v>
      </c>
      <c r="D18" s="47">
        <v>16</v>
      </c>
      <c r="F18" s="46" t="s">
        <v>351</v>
      </c>
      <c r="H18" s="6">
        <v>56</v>
      </c>
      <c r="I18" s="6">
        <v>105</v>
      </c>
      <c r="J18" s="6">
        <v>17</v>
      </c>
      <c r="L18" s="32">
        <v>91</v>
      </c>
      <c r="M18" s="32">
        <v>182</v>
      </c>
      <c r="N18" s="32">
        <v>273</v>
      </c>
      <c r="P18" s="57"/>
      <c r="R18" s="57"/>
      <c r="S18" s="8"/>
    </row>
    <row r="19" spans="2:19" ht="27">
      <c r="B19">
        <v>45</v>
      </c>
      <c r="C19" t="s">
        <v>250</v>
      </c>
      <c r="D19" s="47">
        <v>17</v>
      </c>
      <c r="F19" s="46" t="s">
        <v>352</v>
      </c>
      <c r="H19" s="6">
        <v>59</v>
      </c>
      <c r="I19" s="6">
        <v>108</v>
      </c>
      <c r="J19" s="6">
        <v>20</v>
      </c>
      <c r="L19" s="32">
        <v>90</v>
      </c>
      <c r="M19" s="32">
        <v>180</v>
      </c>
      <c r="N19" s="32">
        <v>270</v>
      </c>
      <c r="P19" s="57"/>
      <c r="R19" s="57"/>
      <c r="S19" s="8" t="s">
        <v>230</v>
      </c>
    </row>
    <row r="20" spans="2:19" ht="27">
      <c r="B20">
        <v>48</v>
      </c>
      <c r="C20" t="s">
        <v>251</v>
      </c>
      <c r="D20" s="47">
        <v>18</v>
      </c>
      <c r="F20" s="46" t="s">
        <v>353</v>
      </c>
      <c r="H20" s="6">
        <v>62</v>
      </c>
      <c r="I20" s="6">
        <v>111</v>
      </c>
      <c r="J20" s="6">
        <v>23</v>
      </c>
      <c r="L20" s="32">
        <v>89</v>
      </c>
      <c r="M20" s="32">
        <v>178</v>
      </c>
      <c r="N20" s="32">
        <v>267</v>
      </c>
      <c r="P20" s="57"/>
      <c r="R20" s="57"/>
      <c r="S20" s="8" t="s">
        <v>230</v>
      </c>
    </row>
    <row r="21" spans="2:19" ht="27">
      <c r="B21">
        <v>51</v>
      </c>
      <c r="C21" t="s">
        <v>252</v>
      </c>
      <c r="D21" s="47">
        <v>19</v>
      </c>
      <c r="E21" t="s">
        <v>15</v>
      </c>
      <c r="F21" s="46" t="s">
        <v>354</v>
      </c>
      <c r="H21" s="6">
        <v>25</v>
      </c>
      <c r="I21" s="6">
        <v>2</v>
      </c>
      <c r="J21" s="6">
        <v>25</v>
      </c>
      <c r="L21" s="32">
        <v>88</v>
      </c>
      <c r="M21" s="32">
        <v>176</v>
      </c>
      <c r="N21" s="32">
        <v>264</v>
      </c>
      <c r="P21" s="57" t="s">
        <v>83</v>
      </c>
      <c r="R21" s="57" t="s">
        <v>142</v>
      </c>
      <c r="S21" s="8" t="s">
        <v>233</v>
      </c>
    </row>
    <row r="22" spans="2:19" ht="27">
      <c r="B22">
        <v>53</v>
      </c>
      <c r="C22" t="s">
        <v>29</v>
      </c>
      <c r="D22" s="47">
        <v>20</v>
      </c>
      <c r="F22" s="46" t="s">
        <v>355</v>
      </c>
      <c r="H22" s="6">
        <v>71</v>
      </c>
      <c r="I22" s="6">
        <v>7</v>
      </c>
      <c r="J22" s="6">
        <v>32</v>
      </c>
      <c r="L22" s="32">
        <v>87</v>
      </c>
      <c r="M22" s="32">
        <v>174</v>
      </c>
      <c r="N22" s="32">
        <v>261</v>
      </c>
      <c r="P22" s="57" t="s">
        <v>94</v>
      </c>
      <c r="R22" s="57" t="s">
        <v>144</v>
      </c>
      <c r="S22" s="8" t="s">
        <v>235</v>
      </c>
    </row>
    <row r="23" spans="2:19" ht="27">
      <c r="B23">
        <v>56</v>
      </c>
      <c r="C23" t="s">
        <v>253</v>
      </c>
      <c r="D23" s="47">
        <v>21</v>
      </c>
      <c r="F23" s="46" t="s">
        <v>356</v>
      </c>
      <c r="H23" s="6">
        <v>68</v>
      </c>
      <c r="I23" s="6">
        <v>4</v>
      </c>
      <c r="J23" s="6">
        <v>29</v>
      </c>
      <c r="L23" s="32">
        <v>86</v>
      </c>
      <c r="M23" s="32">
        <v>172</v>
      </c>
      <c r="N23" s="32">
        <v>258</v>
      </c>
      <c r="P23" s="57" t="s">
        <v>89</v>
      </c>
      <c r="R23" s="57" t="s">
        <v>143</v>
      </c>
      <c r="S23" s="8" t="s">
        <v>233</v>
      </c>
    </row>
    <row r="24" spans="2:19" ht="27">
      <c r="B24">
        <v>57</v>
      </c>
      <c r="C24" t="s">
        <v>254</v>
      </c>
      <c r="D24" s="47">
        <v>22</v>
      </c>
      <c r="F24" s="46" t="s">
        <v>357</v>
      </c>
      <c r="H24" s="6">
        <v>74</v>
      </c>
      <c r="I24" s="6">
        <v>10</v>
      </c>
      <c r="J24" s="6">
        <v>35</v>
      </c>
      <c r="L24" s="32">
        <v>85</v>
      </c>
      <c r="M24" s="32">
        <v>170</v>
      </c>
      <c r="N24" s="32">
        <v>255</v>
      </c>
      <c r="P24" s="57" t="s">
        <v>171</v>
      </c>
      <c r="R24" s="57" t="s">
        <v>145</v>
      </c>
      <c r="S24" s="8" t="s">
        <v>235</v>
      </c>
    </row>
    <row r="25" spans="2:19" ht="27">
      <c r="B25">
        <v>58</v>
      </c>
      <c r="C25" t="s">
        <v>255</v>
      </c>
      <c r="D25" s="47">
        <v>23</v>
      </c>
      <c r="E25" t="s">
        <v>15</v>
      </c>
      <c r="F25" s="46" t="s">
        <v>358</v>
      </c>
      <c r="H25" s="6">
        <v>78</v>
      </c>
      <c r="I25" s="6">
        <v>14</v>
      </c>
      <c r="J25" s="6">
        <v>39</v>
      </c>
      <c r="L25" s="32">
        <v>83</v>
      </c>
      <c r="M25" s="32">
        <v>166</v>
      </c>
      <c r="N25" s="32">
        <v>249</v>
      </c>
      <c r="P25" s="57" t="s">
        <v>75</v>
      </c>
      <c r="R25" s="57" t="s">
        <v>147</v>
      </c>
      <c r="S25" s="8" t="s">
        <v>233</v>
      </c>
    </row>
    <row r="26" spans="2:19" ht="27">
      <c r="B26">
        <v>59</v>
      </c>
      <c r="C26" t="s">
        <v>256</v>
      </c>
      <c r="D26" s="47">
        <v>24</v>
      </c>
      <c r="F26" s="46" t="s">
        <v>359</v>
      </c>
      <c r="H26" s="6">
        <v>81</v>
      </c>
      <c r="I26" s="6">
        <v>17</v>
      </c>
      <c r="J26" s="6">
        <v>42</v>
      </c>
      <c r="L26" s="32">
        <v>82</v>
      </c>
      <c r="M26" s="32">
        <v>164</v>
      </c>
      <c r="N26" s="32">
        <v>246</v>
      </c>
      <c r="P26" s="57"/>
      <c r="R26" s="57" t="s">
        <v>158</v>
      </c>
      <c r="S26" s="8"/>
    </row>
    <row r="27" spans="2:19" ht="27">
      <c r="B27">
        <v>60</v>
      </c>
      <c r="C27" t="s">
        <v>257</v>
      </c>
      <c r="D27" s="47">
        <v>25</v>
      </c>
      <c r="E27" t="s">
        <v>15</v>
      </c>
      <c r="F27" s="46" t="s">
        <v>360</v>
      </c>
      <c r="H27" s="6">
        <v>83</v>
      </c>
      <c r="I27" s="6">
        <v>19</v>
      </c>
      <c r="J27" s="6">
        <v>44</v>
      </c>
      <c r="L27" s="32">
        <v>81</v>
      </c>
      <c r="M27" s="32">
        <v>162</v>
      </c>
      <c r="N27" s="32">
        <v>243</v>
      </c>
      <c r="P27" s="57"/>
      <c r="R27" s="57"/>
      <c r="S27" s="8"/>
    </row>
    <row r="28" spans="2:19" ht="27">
      <c r="B28">
        <v>61</v>
      </c>
      <c r="C28" t="s">
        <v>258</v>
      </c>
      <c r="D28" s="47">
        <v>26</v>
      </c>
      <c r="F28" s="46" t="s">
        <v>361</v>
      </c>
      <c r="H28" s="6">
        <v>87</v>
      </c>
      <c r="I28" s="6">
        <v>23</v>
      </c>
      <c r="J28" s="6">
        <v>48</v>
      </c>
      <c r="L28" s="32">
        <v>80</v>
      </c>
      <c r="M28" s="32">
        <v>160</v>
      </c>
      <c r="N28" s="32">
        <v>240</v>
      </c>
      <c r="P28" s="57"/>
      <c r="R28" s="57"/>
      <c r="S28" s="8"/>
    </row>
    <row r="29" spans="2:19" ht="27">
      <c r="B29">
        <v>63</v>
      </c>
      <c r="C29" t="s">
        <v>259</v>
      </c>
      <c r="D29" s="47">
        <v>27</v>
      </c>
      <c r="F29" s="46" t="s">
        <v>362</v>
      </c>
      <c r="H29" s="6">
        <v>90</v>
      </c>
      <c r="I29" s="6">
        <v>26</v>
      </c>
      <c r="J29" s="6">
        <v>51</v>
      </c>
      <c r="L29" s="32">
        <v>79</v>
      </c>
      <c r="M29" s="32">
        <v>158</v>
      </c>
      <c r="N29" s="32">
        <v>237</v>
      </c>
      <c r="P29" s="57"/>
      <c r="R29" s="57"/>
      <c r="S29" s="8"/>
    </row>
    <row r="30" spans="2:19" ht="27">
      <c r="B30">
        <v>66</v>
      </c>
      <c r="C30" t="s">
        <v>260</v>
      </c>
      <c r="D30" s="47">
        <v>28</v>
      </c>
      <c r="F30" s="46" t="s">
        <v>363</v>
      </c>
      <c r="H30" s="6">
        <v>92</v>
      </c>
      <c r="I30" s="6">
        <v>28</v>
      </c>
      <c r="J30" s="6">
        <v>53</v>
      </c>
      <c r="L30" s="32">
        <v>78</v>
      </c>
      <c r="M30" s="32">
        <v>156</v>
      </c>
      <c r="N30" s="32">
        <v>234</v>
      </c>
      <c r="P30" s="57"/>
      <c r="R30" s="57"/>
      <c r="S30" s="8"/>
    </row>
    <row r="31" spans="2:19" ht="27">
      <c r="B31">
        <v>67</v>
      </c>
      <c r="C31" t="s">
        <v>261</v>
      </c>
      <c r="D31" s="47">
        <v>29</v>
      </c>
      <c r="F31" s="46" t="s">
        <v>364</v>
      </c>
      <c r="H31" s="6">
        <v>93</v>
      </c>
      <c r="I31" s="6">
        <v>29</v>
      </c>
      <c r="J31" s="6">
        <v>54</v>
      </c>
      <c r="L31" s="32">
        <v>77</v>
      </c>
      <c r="M31" s="32">
        <v>154</v>
      </c>
      <c r="N31" s="32">
        <v>231</v>
      </c>
      <c r="P31" s="57"/>
      <c r="R31" s="57"/>
      <c r="S31" s="8"/>
    </row>
    <row r="32" spans="2:19" ht="27">
      <c r="B32">
        <v>68</v>
      </c>
      <c r="C32" t="s">
        <v>262</v>
      </c>
      <c r="D32" s="47">
        <v>30</v>
      </c>
      <c r="F32" s="46" t="s">
        <v>365</v>
      </c>
      <c r="H32" s="6">
        <v>94</v>
      </c>
      <c r="I32" s="6">
        <v>30</v>
      </c>
      <c r="J32" s="6">
        <v>55</v>
      </c>
      <c r="L32" s="32">
        <v>76</v>
      </c>
      <c r="M32" s="32">
        <v>152</v>
      </c>
      <c r="N32" s="32">
        <v>228</v>
      </c>
      <c r="P32" s="57"/>
      <c r="R32" s="57"/>
      <c r="S32" s="8"/>
    </row>
    <row r="33" spans="2:19" ht="27">
      <c r="B33">
        <v>69</v>
      </c>
      <c r="C33" t="s">
        <v>263</v>
      </c>
      <c r="D33" s="47">
        <v>31</v>
      </c>
      <c r="F33" s="46" t="s">
        <v>366</v>
      </c>
      <c r="H33" s="6">
        <v>95</v>
      </c>
      <c r="I33" s="6">
        <v>31</v>
      </c>
      <c r="J33" s="6">
        <v>56</v>
      </c>
      <c r="L33" s="32">
        <v>75</v>
      </c>
      <c r="M33" s="32">
        <v>150</v>
      </c>
      <c r="N33" s="32">
        <v>225</v>
      </c>
      <c r="P33" s="57"/>
      <c r="R33" s="57"/>
      <c r="S33" s="8"/>
    </row>
    <row r="34" spans="2:19" ht="27">
      <c r="B34">
        <v>70</v>
      </c>
      <c r="C34" t="s">
        <v>264</v>
      </c>
      <c r="D34" s="47">
        <v>32</v>
      </c>
      <c r="F34" s="46" t="s">
        <v>367</v>
      </c>
      <c r="H34" s="6">
        <v>96</v>
      </c>
      <c r="I34" s="6">
        <v>32</v>
      </c>
      <c r="J34" s="6">
        <v>57</v>
      </c>
      <c r="L34" s="32">
        <v>74</v>
      </c>
      <c r="M34" s="32">
        <v>148</v>
      </c>
      <c r="N34" s="32">
        <v>222</v>
      </c>
      <c r="P34" s="57"/>
      <c r="R34" s="57"/>
      <c r="S34" s="8"/>
    </row>
    <row r="35" spans="2:19" ht="27">
      <c r="B35">
        <v>71</v>
      </c>
      <c r="C35" t="s">
        <v>265</v>
      </c>
      <c r="D35" s="47">
        <v>33</v>
      </c>
      <c r="F35" s="46" t="s">
        <v>368</v>
      </c>
      <c r="H35" s="6">
        <v>97</v>
      </c>
      <c r="I35" s="6">
        <v>33</v>
      </c>
      <c r="J35" s="6">
        <v>58</v>
      </c>
      <c r="L35" s="32">
        <v>73</v>
      </c>
      <c r="M35" s="32">
        <v>146</v>
      </c>
      <c r="N35" s="32">
        <v>219</v>
      </c>
      <c r="P35" s="57"/>
      <c r="R35" s="57"/>
      <c r="S35" s="8"/>
    </row>
    <row r="36" spans="2:19" ht="27">
      <c r="B36">
        <v>73</v>
      </c>
      <c r="C36" t="s">
        <v>266</v>
      </c>
      <c r="D36" s="47">
        <v>34</v>
      </c>
      <c r="F36" s="46" t="s">
        <v>369</v>
      </c>
      <c r="H36" s="6">
        <v>98</v>
      </c>
      <c r="I36" s="6">
        <v>34</v>
      </c>
      <c r="J36" s="6">
        <v>59</v>
      </c>
      <c r="L36" s="32">
        <v>72</v>
      </c>
      <c r="M36" s="32">
        <v>144</v>
      </c>
      <c r="N36" s="32">
        <v>216</v>
      </c>
      <c r="P36" s="57"/>
      <c r="R36" s="57"/>
      <c r="S36" s="8"/>
    </row>
    <row r="37" spans="2:19" ht="27">
      <c r="B37">
        <v>74</v>
      </c>
      <c r="C37" t="s">
        <v>267</v>
      </c>
      <c r="D37" s="47">
        <v>35</v>
      </c>
      <c r="F37" s="46" t="s">
        <v>370</v>
      </c>
      <c r="H37" s="6">
        <v>99</v>
      </c>
      <c r="I37" s="6">
        <v>35</v>
      </c>
      <c r="J37" s="6">
        <v>60</v>
      </c>
      <c r="L37" s="32">
        <v>71</v>
      </c>
      <c r="M37" s="32">
        <v>142</v>
      </c>
      <c r="N37" s="32">
        <v>213</v>
      </c>
      <c r="P37" s="57"/>
      <c r="R37" s="57"/>
      <c r="S37" s="8"/>
    </row>
    <row r="38" spans="2:19" ht="27">
      <c r="B38">
        <v>75</v>
      </c>
      <c r="C38" t="s">
        <v>268</v>
      </c>
      <c r="D38" s="47">
        <v>36</v>
      </c>
      <c r="E38" s="46" t="s">
        <v>15</v>
      </c>
      <c r="F38" s="46" t="s">
        <v>371</v>
      </c>
      <c r="H38" s="6">
        <v>100</v>
      </c>
      <c r="I38" s="6">
        <v>36</v>
      </c>
      <c r="J38" s="6">
        <v>61</v>
      </c>
      <c r="L38" s="32">
        <v>70</v>
      </c>
      <c r="M38" s="32">
        <v>140</v>
      </c>
      <c r="N38" s="32">
        <v>210</v>
      </c>
      <c r="P38" s="57"/>
      <c r="R38" s="57"/>
      <c r="S38" s="8"/>
    </row>
    <row r="39" spans="2:19" ht="27">
      <c r="B39">
        <v>78</v>
      </c>
      <c r="C39" t="s">
        <v>269</v>
      </c>
      <c r="D39" s="47">
        <v>37</v>
      </c>
      <c r="F39" s="46" t="s">
        <v>372</v>
      </c>
      <c r="H39" s="6">
        <v>101</v>
      </c>
      <c r="I39" s="6">
        <v>37</v>
      </c>
      <c r="J39" s="6">
        <v>62</v>
      </c>
      <c r="L39" s="32">
        <v>69</v>
      </c>
      <c r="M39" s="32">
        <v>138</v>
      </c>
      <c r="N39" s="32">
        <v>207</v>
      </c>
      <c r="P39" s="57"/>
      <c r="R39" s="57"/>
      <c r="S39" s="8"/>
    </row>
    <row r="40" spans="2:19" ht="27">
      <c r="B40">
        <v>79</v>
      </c>
      <c r="C40" t="s">
        <v>270</v>
      </c>
      <c r="D40" s="47">
        <v>38</v>
      </c>
      <c r="E40" t="s">
        <v>15</v>
      </c>
      <c r="F40" s="46" t="s">
        <v>373</v>
      </c>
      <c r="H40" s="6">
        <v>103</v>
      </c>
      <c r="I40" s="6">
        <v>39</v>
      </c>
      <c r="J40" s="6">
        <v>64</v>
      </c>
      <c r="L40" s="32">
        <v>68</v>
      </c>
      <c r="M40" s="32">
        <v>136</v>
      </c>
      <c r="N40" s="32">
        <v>204</v>
      </c>
      <c r="P40" s="57"/>
      <c r="R40" s="57"/>
      <c r="S40" s="8"/>
    </row>
    <row r="41" spans="2:19" ht="27">
      <c r="B41">
        <v>81</v>
      </c>
      <c r="C41" s="46" t="s">
        <v>271</v>
      </c>
      <c r="D41" s="47">
        <v>39</v>
      </c>
      <c r="F41" s="46" t="s">
        <v>374</v>
      </c>
      <c r="H41" s="6">
        <v>102</v>
      </c>
      <c r="I41" s="6">
        <v>38</v>
      </c>
      <c r="J41" s="6">
        <v>63</v>
      </c>
      <c r="L41" s="32">
        <v>67</v>
      </c>
      <c r="M41" s="32">
        <v>134</v>
      </c>
      <c r="N41" s="32">
        <v>201</v>
      </c>
      <c r="P41" s="57"/>
      <c r="R41" s="57"/>
      <c r="S41" s="8"/>
    </row>
    <row r="42" spans="2:19" ht="27">
      <c r="B42">
        <v>85</v>
      </c>
      <c r="C42" t="s">
        <v>272</v>
      </c>
      <c r="D42" s="47">
        <v>40</v>
      </c>
      <c r="F42" s="46" t="s">
        <v>375</v>
      </c>
      <c r="H42" s="6">
        <v>16</v>
      </c>
      <c r="I42" s="6">
        <v>65</v>
      </c>
      <c r="J42" s="6">
        <v>90</v>
      </c>
      <c r="L42" s="32">
        <v>66</v>
      </c>
      <c r="M42" s="32">
        <v>132</v>
      </c>
      <c r="N42" s="32">
        <v>198</v>
      </c>
      <c r="P42" s="57"/>
      <c r="R42" s="57"/>
      <c r="S42" s="8"/>
    </row>
    <row r="43" spans="2:19" ht="27">
      <c r="B43">
        <v>86</v>
      </c>
      <c r="C43" t="s">
        <v>273</v>
      </c>
      <c r="D43" s="47">
        <v>41</v>
      </c>
      <c r="F43" s="46" t="s">
        <v>376</v>
      </c>
      <c r="H43" s="6">
        <v>19</v>
      </c>
      <c r="I43" s="6">
        <v>68</v>
      </c>
      <c r="J43" s="6">
        <v>93</v>
      </c>
      <c r="L43" s="32">
        <v>64</v>
      </c>
      <c r="M43" s="32">
        <v>128</v>
      </c>
      <c r="N43" s="32">
        <v>192</v>
      </c>
      <c r="P43" s="57"/>
      <c r="R43" s="57"/>
      <c r="S43" s="8"/>
    </row>
    <row r="44" spans="2:19" ht="27">
      <c r="B44">
        <v>87</v>
      </c>
      <c r="C44" t="s">
        <v>32</v>
      </c>
      <c r="D44" s="47">
        <v>42</v>
      </c>
      <c r="F44" s="46" t="s">
        <v>377</v>
      </c>
      <c r="H44" s="6">
        <v>22</v>
      </c>
      <c r="I44" s="6">
        <v>71</v>
      </c>
      <c r="J44" s="6">
        <v>96</v>
      </c>
      <c r="L44" s="32">
        <v>63</v>
      </c>
      <c r="M44" s="32">
        <v>126</v>
      </c>
      <c r="N44" s="32">
        <v>189</v>
      </c>
      <c r="P44" s="57"/>
      <c r="R44" s="57"/>
      <c r="S44" s="8"/>
    </row>
    <row r="45" spans="2:19" ht="27">
      <c r="B45">
        <v>88</v>
      </c>
      <c r="C45" t="s">
        <v>274</v>
      </c>
      <c r="D45" s="47">
        <v>43</v>
      </c>
      <c r="E45" t="s">
        <v>15</v>
      </c>
      <c r="F45" s="46" t="s">
        <v>378</v>
      </c>
      <c r="H45" s="6">
        <v>25</v>
      </c>
      <c r="I45" s="6">
        <v>74</v>
      </c>
      <c r="J45" s="6">
        <v>99</v>
      </c>
      <c r="L45" s="32">
        <v>62</v>
      </c>
      <c r="M45" s="32">
        <v>124</v>
      </c>
      <c r="N45" s="32">
        <v>186</v>
      </c>
      <c r="P45" s="57"/>
      <c r="R45" s="57"/>
      <c r="S45" s="8"/>
    </row>
    <row r="46" spans="2:19" ht="27">
      <c r="B46">
        <v>93</v>
      </c>
      <c r="C46" t="s">
        <v>275</v>
      </c>
      <c r="D46" s="47">
        <v>44</v>
      </c>
      <c r="E46" t="s">
        <v>15</v>
      </c>
      <c r="F46" s="46" t="s">
        <v>379</v>
      </c>
      <c r="H46" s="6">
        <v>28</v>
      </c>
      <c r="I46" s="6">
        <v>77</v>
      </c>
      <c r="J46" s="6">
        <v>102</v>
      </c>
      <c r="L46" s="32">
        <v>61</v>
      </c>
      <c r="M46" s="32">
        <v>122</v>
      </c>
      <c r="N46" s="32">
        <v>183</v>
      </c>
      <c r="P46" s="57"/>
      <c r="R46" s="57"/>
      <c r="S46" s="8"/>
    </row>
    <row r="47" spans="2:19" ht="27">
      <c r="B47">
        <v>94</v>
      </c>
      <c r="C47" t="s">
        <v>276</v>
      </c>
      <c r="D47" s="47">
        <v>45</v>
      </c>
      <c r="F47" s="46" t="s">
        <v>380</v>
      </c>
      <c r="H47" s="6">
        <v>31</v>
      </c>
      <c r="I47" s="6">
        <v>80</v>
      </c>
      <c r="J47" s="6">
        <v>105</v>
      </c>
      <c r="L47" s="32">
        <v>60</v>
      </c>
      <c r="M47" s="32">
        <v>120</v>
      </c>
      <c r="N47" s="32">
        <v>180</v>
      </c>
      <c r="P47" s="57"/>
      <c r="R47" s="57"/>
      <c r="S47" s="8"/>
    </row>
    <row r="48" spans="2:19" ht="27">
      <c r="B48">
        <v>95</v>
      </c>
      <c r="C48" t="s">
        <v>277</v>
      </c>
      <c r="D48" s="47">
        <v>46</v>
      </c>
      <c r="F48" s="46" t="s">
        <v>381</v>
      </c>
      <c r="H48" s="6">
        <v>34</v>
      </c>
      <c r="I48" s="6">
        <v>83</v>
      </c>
      <c r="J48" s="6">
        <v>108</v>
      </c>
      <c r="L48" s="32">
        <v>59</v>
      </c>
      <c r="M48" s="32">
        <v>118</v>
      </c>
      <c r="N48" s="32">
        <v>177</v>
      </c>
      <c r="P48" s="57"/>
      <c r="R48" s="57"/>
      <c r="S48" s="8"/>
    </row>
    <row r="49" spans="2:19" ht="27">
      <c r="B49">
        <v>97</v>
      </c>
      <c r="C49" t="s">
        <v>278</v>
      </c>
      <c r="D49" s="47">
        <v>47</v>
      </c>
      <c r="F49" s="46" t="s">
        <v>382</v>
      </c>
      <c r="H49" s="6">
        <v>37</v>
      </c>
      <c r="I49" s="6">
        <v>86</v>
      </c>
      <c r="J49" s="6">
        <v>111</v>
      </c>
      <c r="L49" s="32">
        <v>58</v>
      </c>
      <c r="M49" s="32">
        <v>116</v>
      </c>
      <c r="N49" s="32">
        <v>174</v>
      </c>
      <c r="P49" s="57"/>
      <c r="R49" s="57"/>
      <c r="S49" s="8"/>
    </row>
    <row r="50" spans="2:19" ht="27">
      <c r="B50">
        <v>100</v>
      </c>
      <c r="C50" t="s">
        <v>279</v>
      </c>
      <c r="D50" s="47">
        <v>48</v>
      </c>
      <c r="F50" s="46" t="s">
        <v>383</v>
      </c>
      <c r="H50" s="6">
        <v>40</v>
      </c>
      <c r="I50" s="6">
        <v>89</v>
      </c>
      <c r="J50" s="6">
        <v>1</v>
      </c>
      <c r="L50" s="32">
        <v>57</v>
      </c>
      <c r="M50" s="32">
        <v>114</v>
      </c>
      <c r="N50" s="32">
        <v>171</v>
      </c>
      <c r="P50" s="57" t="s">
        <v>91</v>
      </c>
      <c r="R50" s="57"/>
      <c r="S50" s="8" t="s">
        <v>233</v>
      </c>
    </row>
    <row r="51" spans="2:19" ht="27">
      <c r="B51">
        <v>101</v>
      </c>
      <c r="C51" t="s">
        <v>280</v>
      </c>
      <c r="D51" s="47">
        <v>49</v>
      </c>
      <c r="F51" s="46" t="s">
        <v>384</v>
      </c>
      <c r="H51" s="6">
        <v>43</v>
      </c>
      <c r="I51" s="6">
        <v>92</v>
      </c>
      <c r="J51" s="6">
        <v>4</v>
      </c>
      <c r="L51" s="32">
        <v>56</v>
      </c>
      <c r="M51" s="32">
        <v>112</v>
      </c>
      <c r="N51" s="32">
        <v>168</v>
      </c>
      <c r="P51" s="57" t="s">
        <v>61</v>
      </c>
      <c r="R51" s="57"/>
      <c r="S51" s="8" t="s">
        <v>233</v>
      </c>
    </row>
    <row r="52" spans="2:19" ht="27">
      <c r="B52">
        <v>102</v>
      </c>
      <c r="C52" t="s">
        <v>281</v>
      </c>
      <c r="D52" s="47">
        <v>50</v>
      </c>
      <c r="F52" s="46" t="s">
        <v>385</v>
      </c>
      <c r="H52" s="6">
        <v>46</v>
      </c>
      <c r="I52" s="6">
        <v>95</v>
      </c>
      <c r="J52" s="6">
        <v>7</v>
      </c>
      <c r="L52" s="32">
        <v>55</v>
      </c>
      <c r="M52" s="32">
        <v>110</v>
      </c>
      <c r="N52" s="32">
        <v>165</v>
      </c>
      <c r="P52" s="57"/>
      <c r="R52" s="57"/>
      <c r="S52" s="8"/>
    </row>
    <row r="53" spans="2:19" ht="27">
      <c r="B53">
        <v>103</v>
      </c>
      <c r="C53" t="s">
        <v>282</v>
      </c>
      <c r="D53" s="47">
        <v>51</v>
      </c>
      <c r="E53" t="s">
        <v>15</v>
      </c>
      <c r="F53" s="46" t="s">
        <v>386</v>
      </c>
      <c r="H53" s="6">
        <v>49</v>
      </c>
      <c r="I53" s="6">
        <v>98</v>
      </c>
      <c r="J53" s="6">
        <v>10</v>
      </c>
      <c r="L53" s="32">
        <v>54</v>
      </c>
      <c r="M53" s="32">
        <v>108</v>
      </c>
      <c r="N53" s="32">
        <v>162</v>
      </c>
      <c r="P53" s="57"/>
      <c r="R53" s="57"/>
      <c r="S53" s="8"/>
    </row>
    <row r="54" spans="2:19" ht="27">
      <c r="B54">
        <v>107</v>
      </c>
      <c r="C54" t="s">
        <v>283</v>
      </c>
      <c r="D54" s="47">
        <v>52</v>
      </c>
      <c r="F54" s="46" t="s">
        <v>387</v>
      </c>
      <c r="H54" s="6">
        <v>52</v>
      </c>
      <c r="I54" s="6">
        <v>101</v>
      </c>
      <c r="J54" s="6">
        <v>13</v>
      </c>
      <c r="L54" s="32">
        <v>53</v>
      </c>
      <c r="M54" s="32">
        <v>106</v>
      </c>
      <c r="N54" s="32">
        <v>159</v>
      </c>
      <c r="P54" s="57"/>
      <c r="R54" s="57"/>
      <c r="S54" s="8"/>
    </row>
    <row r="55" spans="2:19" ht="27">
      <c r="B55">
        <v>108</v>
      </c>
      <c r="C55" t="s">
        <v>284</v>
      </c>
      <c r="D55" s="47">
        <v>53</v>
      </c>
      <c r="F55" s="46" t="s">
        <v>388</v>
      </c>
      <c r="H55" s="6">
        <v>54</v>
      </c>
      <c r="I55" s="6">
        <v>103</v>
      </c>
      <c r="J55" s="6">
        <v>15</v>
      </c>
      <c r="L55" s="32">
        <v>52</v>
      </c>
      <c r="M55" s="32">
        <v>104</v>
      </c>
      <c r="N55" s="32">
        <v>156</v>
      </c>
      <c r="P55" s="57"/>
      <c r="R55" s="57"/>
      <c r="S55" s="8"/>
    </row>
    <row r="56" spans="2:19" ht="27">
      <c r="B56">
        <v>111</v>
      </c>
      <c r="C56" t="s">
        <v>285</v>
      </c>
      <c r="D56" s="47">
        <v>54</v>
      </c>
      <c r="F56" s="46" t="s">
        <v>389</v>
      </c>
      <c r="H56" s="6">
        <v>57</v>
      </c>
      <c r="I56" s="6">
        <v>106</v>
      </c>
      <c r="J56" s="6">
        <v>18</v>
      </c>
      <c r="L56" s="32">
        <v>51</v>
      </c>
      <c r="M56" s="32">
        <v>102</v>
      </c>
      <c r="N56" s="32">
        <v>153</v>
      </c>
      <c r="P56" s="57"/>
      <c r="R56" s="57"/>
      <c r="S56" s="8" t="s">
        <v>230</v>
      </c>
    </row>
    <row r="57" spans="2:19" ht="27">
      <c r="B57">
        <v>114</v>
      </c>
      <c r="C57" t="s">
        <v>286</v>
      </c>
      <c r="D57" s="47">
        <v>55</v>
      </c>
      <c r="E57" t="s">
        <v>15</v>
      </c>
      <c r="F57" s="46" t="s">
        <v>390</v>
      </c>
      <c r="H57" s="6">
        <v>60</v>
      </c>
      <c r="I57" s="6">
        <v>109</v>
      </c>
      <c r="J57" s="6">
        <v>21</v>
      </c>
      <c r="L57" s="32">
        <v>50</v>
      </c>
      <c r="M57" s="32">
        <v>100</v>
      </c>
      <c r="N57" s="32">
        <v>150</v>
      </c>
      <c r="P57" s="57"/>
      <c r="R57" s="57"/>
      <c r="S57" s="8" t="s">
        <v>230</v>
      </c>
    </row>
    <row r="58" spans="2:19" ht="27">
      <c r="B58">
        <v>115</v>
      </c>
      <c r="C58" t="s">
        <v>287</v>
      </c>
      <c r="D58" s="47">
        <v>56</v>
      </c>
      <c r="F58" s="46" t="s">
        <v>391</v>
      </c>
      <c r="H58" s="6">
        <v>63</v>
      </c>
      <c r="I58" s="6">
        <v>112</v>
      </c>
      <c r="J58" s="6">
        <v>24</v>
      </c>
      <c r="L58" s="32">
        <v>49</v>
      </c>
      <c r="M58" s="32">
        <v>98</v>
      </c>
      <c r="N58" s="32">
        <v>147</v>
      </c>
      <c r="P58" s="57"/>
      <c r="R58" s="57"/>
      <c r="S58" s="8"/>
    </row>
    <row r="59" spans="2:19" ht="27">
      <c r="B59">
        <v>116</v>
      </c>
      <c r="C59" t="s">
        <v>288</v>
      </c>
      <c r="D59" s="47">
        <v>57</v>
      </c>
      <c r="E59" t="s">
        <v>15</v>
      </c>
      <c r="F59" s="46" t="s">
        <v>392</v>
      </c>
      <c r="H59" s="6">
        <v>25</v>
      </c>
      <c r="I59" s="6">
        <v>2</v>
      </c>
      <c r="J59" s="6">
        <v>2</v>
      </c>
      <c r="L59" s="32">
        <v>48</v>
      </c>
      <c r="M59" s="32">
        <v>96</v>
      </c>
      <c r="N59" s="32">
        <v>144</v>
      </c>
      <c r="P59" s="57" t="s">
        <v>82</v>
      </c>
      <c r="R59" s="57"/>
      <c r="S59" s="8" t="s">
        <v>233</v>
      </c>
    </row>
    <row r="60" spans="2:19" ht="27">
      <c r="B60">
        <v>117</v>
      </c>
      <c r="C60" t="s">
        <v>289</v>
      </c>
      <c r="D60" s="47">
        <v>58</v>
      </c>
      <c r="F60" s="46" t="s">
        <v>393</v>
      </c>
      <c r="H60" s="6">
        <v>69</v>
      </c>
      <c r="I60" s="6">
        <v>5</v>
      </c>
      <c r="J60" s="6">
        <v>30</v>
      </c>
      <c r="L60" s="32">
        <v>47</v>
      </c>
      <c r="M60" s="32">
        <v>94</v>
      </c>
      <c r="N60" s="32">
        <v>141</v>
      </c>
      <c r="P60" s="57" t="s">
        <v>90</v>
      </c>
      <c r="R60" s="57"/>
      <c r="S60" s="8" t="s">
        <v>233</v>
      </c>
    </row>
    <row r="61" spans="2:19" ht="27">
      <c r="B61">
        <v>118</v>
      </c>
      <c r="C61" t="s">
        <v>290</v>
      </c>
      <c r="D61" s="47">
        <v>59</v>
      </c>
      <c r="F61" s="46" t="s">
        <v>394</v>
      </c>
      <c r="H61" s="6">
        <v>72</v>
      </c>
      <c r="I61" s="6">
        <v>8</v>
      </c>
      <c r="J61" s="6">
        <v>33</v>
      </c>
      <c r="L61" s="32">
        <v>46</v>
      </c>
      <c r="M61" s="32">
        <v>92</v>
      </c>
      <c r="N61" s="32">
        <v>138</v>
      </c>
      <c r="P61" s="57" t="s">
        <v>79</v>
      </c>
      <c r="R61" s="57"/>
      <c r="S61" s="8" t="s">
        <v>235</v>
      </c>
    </row>
    <row r="62" spans="2:19" ht="27">
      <c r="B62">
        <v>120</v>
      </c>
      <c r="C62" t="s">
        <v>291</v>
      </c>
      <c r="D62" s="47">
        <v>60</v>
      </c>
      <c r="F62" s="46" t="s">
        <v>395</v>
      </c>
      <c r="H62" s="6">
        <v>75</v>
      </c>
      <c r="I62" s="6">
        <v>11</v>
      </c>
      <c r="J62" s="6">
        <v>36</v>
      </c>
      <c r="L62" s="32">
        <v>45</v>
      </c>
      <c r="M62" s="32">
        <v>90</v>
      </c>
      <c r="N62" s="32">
        <v>135</v>
      </c>
      <c r="P62" s="57" t="s">
        <v>80</v>
      </c>
      <c r="R62" s="57"/>
      <c r="S62" s="8" t="s">
        <v>235</v>
      </c>
    </row>
    <row r="63" spans="2:19" ht="27">
      <c r="B63">
        <v>121</v>
      </c>
      <c r="C63" t="s">
        <v>292</v>
      </c>
      <c r="D63" s="47">
        <v>61</v>
      </c>
      <c r="F63" s="46" t="s">
        <v>396</v>
      </c>
      <c r="H63" s="6">
        <v>79</v>
      </c>
      <c r="I63" s="6">
        <v>15</v>
      </c>
      <c r="J63" s="6">
        <v>40</v>
      </c>
      <c r="L63" s="32">
        <v>44</v>
      </c>
      <c r="M63" s="32">
        <v>88</v>
      </c>
      <c r="N63" s="32">
        <v>132</v>
      </c>
      <c r="P63" s="57" t="s">
        <v>77</v>
      </c>
      <c r="R63" s="57"/>
      <c r="S63" s="8" t="s">
        <v>233</v>
      </c>
    </row>
    <row r="64" spans="2:19" ht="27">
      <c r="B64">
        <v>122</v>
      </c>
      <c r="C64" t="s">
        <v>293</v>
      </c>
      <c r="D64" s="47">
        <v>62</v>
      </c>
      <c r="F64" s="46" t="s">
        <v>397</v>
      </c>
      <c r="H64" s="6">
        <v>82</v>
      </c>
      <c r="I64" s="6">
        <v>18</v>
      </c>
      <c r="J64" s="6">
        <v>43</v>
      </c>
      <c r="L64" s="32">
        <v>43</v>
      </c>
      <c r="M64" s="32">
        <v>86</v>
      </c>
      <c r="N64" s="32">
        <v>129</v>
      </c>
      <c r="P64" s="57" t="s">
        <v>54</v>
      </c>
      <c r="R64" s="57"/>
      <c r="S64" s="8" t="s">
        <v>234</v>
      </c>
    </row>
    <row r="65" spans="2:19" ht="27">
      <c r="B65">
        <v>123</v>
      </c>
      <c r="C65" t="s">
        <v>294</v>
      </c>
      <c r="D65" s="47">
        <v>63</v>
      </c>
      <c r="F65" s="46" t="s">
        <v>398</v>
      </c>
      <c r="H65" s="6">
        <v>85</v>
      </c>
      <c r="I65" s="6">
        <v>21</v>
      </c>
      <c r="J65" s="6">
        <v>46</v>
      </c>
      <c r="L65" s="32">
        <v>42</v>
      </c>
      <c r="M65" s="32">
        <v>84</v>
      </c>
      <c r="N65" s="32">
        <v>126</v>
      </c>
      <c r="P65" s="57"/>
      <c r="R65" s="57"/>
      <c r="S65" s="8"/>
    </row>
    <row r="66" spans="2:19" ht="27">
      <c r="B66">
        <v>125</v>
      </c>
      <c r="C66" t="s">
        <v>295</v>
      </c>
      <c r="D66" s="47">
        <v>64</v>
      </c>
      <c r="F66" s="46" t="s">
        <v>399</v>
      </c>
      <c r="H66" s="6">
        <v>88</v>
      </c>
      <c r="I66" s="6">
        <v>24</v>
      </c>
      <c r="J66" s="6">
        <v>49</v>
      </c>
      <c r="L66" s="32">
        <v>41</v>
      </c>
      <c r="M66" s="32">
        <v>82</v>
      </c>
      <c r="N66" s="32">
        <v>123</v>
      </c>
      <c r="P66" s="57"/>
      <c r="R66" s="57"/>
      <c r="S66" s="8" t="s">
        <v>233</v>
      </c>
    </row>
    <row r="67" spans="2:19" ht="27">
      <c r="B67">
        <v>126</v>
      </c>
      <c r="C67" t="s">
        <v>296</v>
      </c>
      <c r="D67" s="47">
        <v>65</v>
      </c>
      <c r="F67" s="46" t="s">
        <v>400</v>
      </c>
      <c r="H67" s="6">
        <v>2</v>
      </c>
      <c r="I67" s="6">
        <v>51</v>
      </c>
      <c r="J67" s="6">
        <v>76</v>
      </c>
      <c r="L67" s="32">
        <v>40</v>
      </c>
      <c r="M67" s="32">
        <v>80</v>
      </c>
      <c r="N67" s="32">
        <v>120</v>
      </c>
      <c r="P67" s="57" t="s">
        <v>86</v>
      </c>
      <c r="R67" s="57"/>
      <c r="S67" s="8"/>
    </row>
    <row r="68" spans="2:19" ht="27">
      <c r="B68">
        <v>128</v>
      </c>
      <c r="C68" t="s">
        <v>297</v>
      </c>
      <c r="D68" s="47">
        <v>66</v>
      </c>
      <c r="F68" s="46" t="s">
        <v>401</v>
      </c>
      <c r="H68" s="6">
        <v>1</v>
      </c>
      <c r="I68" s="6">
        <v>50</v>
      </c>
      <c r="J68" s="6">
        <v>75</v>
      </c>
      <c r="L68" s="32">
        <v>39</v>
      </c>
      <c r="M68" s="32">
        <v>78</v>
      </c>
      <c r="N68" s="32">
        <v>117</v>
      </c>
      <c r="P68" s="57" t="s">
        <v>85</v>
      </c>
      <c r="R68" s="57"/>
      <c r="S68" s="8" t="s">
        <v>233</v>
      </c>
    </row>
    <row r="69" spans="2:19" ht="27">
      <c r="B69">
        <v>131</v>
      </c>
      <c r="C69" t="s">
        <v>298</v>
      </c>
      <c r="D69" s="47">
        <v>67</v>
      </c>
      <c r="F69" s="46" t="s">
        <v>402</v>
      </c>
      <c r="H69" s="6">
        <v>3</v>
      </c>
      <c r="I69" s="6">
        <v>52</v>
      </c>
      <c r="J69" s="6">
        <v>77</v>
      </c>
      <c r="L69" s="32">
        <v>37</v>
      </c>
      <c r="M69" s="32">
        <v>74</v>
      </c>
      <c r="N69" s="32">
        <v>111</v>
      </c>
      <c r="P69" s="57" t="s">
        <v>87</v>
      </c>
      <c r="R69" s="57"/>
      <c r="S69" s="8" t="s">
        <v>233</v>
      </c>
    </row>
    <row r="70" spans="2:19" ht="27">
      <c r="B70">
        <v>133</v>
      </c>
      <c r="C70" t="s">
        <v>299</v>
      </c>
      <c r="D70" s="47">
        <v>68</v>
      </c>
      <c r="E70" s="46" t="s">
        <v>15</v>
      </c>
      <c r="F70" s="46" t="s">
        <v>403</v>
      </c>
      <c r="H70" s="6">
        <v>4</v>
      </c>
      <c r="I70" s="6">
        <v>53</v>
      </c>
      <c r="J70" s="6">
        <v>78</v>
      </c>
      <c r="L70" s="32">
        <v>36</v>
      </c>
      <c r="M70" s="32">
        <v>72</v>
      </c>
      <c r="N70" s="32">
        <v>108</v>
      </c>
      <c r="P70" s="57" t="s">
        <v>463</v>
      </c>
      <c r="R70" s="57"/>
      <c r="S70" s="8"/>
    </row>
    <row r="71" spans="2:19" ht="27">
      <c r="B71">
        <v>134</v>
      </c>
      <c r="C71" t="s">
        <v>300</v>
      </c>
      <c r="D71" s="47">
        <v>69</v>
      </c>
      <c r="F71" s="46" t="s">
        <v>404</v>
      </c>
      <c r="H71" s="6">
        <v>5</v>
      </c>
      <c r="I71" s="6">
        <v>54</v>
      </c>
      <c r="J71" s="6">
        <v>79</v>
      </c>
      <c r="L71" s="32">
        <v>35</v>
      </c>
      <c r="M71" s="32">
        <v>70</v>
      </c>
      <c r="N71" s="32">
        <v>105</v>
      </c>
      <c r="P71" s="57" t="s">
        <v>96</v>
      </c>
      <c r="R71" s="57"/>
      <c r="S71" s="8" t="s">
        <v>235</v>
      </c>
    </row>
    <row r="72" spans="2:19" ht="27">
      <c r="B72">
        <v>135</v>
      </c>
      <c r="C72" t="s">
        <v>301</v>
      </c>
      <c r="D72" s="47">
        <v>70</v>
      </c>
      <c r="E72" t="s">
        <v>15</v>
      </c>
      <c r="F72" s="46" t="s">
        <v>405</v>
      </c>
      <c r="H72" s="6">
        <v>6</v>
      </c>
      <c r="I72" s="6">
        <v>55</v>
      </c>
      <c r="J72" s="6">
        <v>80</v>
      </c>
      <c r="L72" s="32">
        <v>34</v>
      </c>
      <c r="M72" s="32">
        <v>68</v>
      </c>
      <c r="N72" s="32">
        <v>102</v>
      </c>
      <c r="P72" s="57" t="s">
        <v>172</v>
      </c>
      <c r="R72" s="57"/>
      <c r="S72" s="8" t="s">
        <v>235</v>
      </c>
    </row>
    <row r="73" spans="2:19" ht="27">
      <c r="B73">
        <v>136</v>
      </c>
      <c r="C73" t="s">
        <v>302</v>
      </c>
      <c r="D73" s="47">
        <v>71</v>
      </c>
      <c r="F73" s="46" t="s">
        <v>406</v>
      </c>
      <c r="H73" s="6">
        <v>7</v>
      </c>
      <c r="I73" s="6">
        <v>56</v>
      </c>
      <c r="J73" s="6">
        <v>81</v>
      </c>
      <c r="L73" s="32">
        <v>33</v>
      </c>
      <c r="M73" s="32">
        <v>66</v>
      </c>
      <c r="N73" s="32">
        <v>99</v>
      </c>
      <c r="P73" s="57" t="s">
        <v>79</v>
      </c>
      <c r="R73" s="57"/>
      <c r="S73" s="8" t="s">
        <v>235</v>
      </c>
    </row>
    <row r="74" spans="2:19" ht="27">
      <c r="B74">
        <v>138</v>
      </c>
      <c r="C74" t="s">
        <v>303</v>
      </c>
      <c r="D74" s="47">
        <v>72</v>
      </c>
      <c r="F74" s="46" t="s">
        <v>407</v>
      </c>
      <c r="H74" s="6">
        <v>8</v>
      </c>
      <c r="I74" s="6">
        <v>57</v>
      </c>
      <c r="J74" s="6">
        <v>82</v>
      </c>
      <c r="L74" s="32">
        <v>30</v>
      </c>
      <c r="M74" s="32">
        <v>60</v>
      </c>
      <c r="N74" s="32">
        <v>90</v>
      </c>
      <c r="P74" s="57" t="s">
        <v>66</v>
      </c>
      <c r="R74" s="57"/>
      <c r="S74" s="8" t="s">
        <v>233</v>
      </c>
    </row>
    <row r="75" spans="2:19" ht="27">
      <c r="B75">
        <v>141</v>
      </c>
      <c r="C75" t="s">
        <v>304</v>
      </c>
      <c r="D75" s="47">
        <v>73</v>
      </c>
      <c r="F75" s="46" t="s">
        <v>408</v>
      </c>
      <c r="H75" s="6">
        <v>9</v>
      </c>
      <c r="I75" s="6">
        <v>58</v>
      </c>
      <c r="J75" s="6">
        <v>83</v>
      </c>
      <c r="L75" s="32">
        <v>29</v>
      </c>
      <c r="M75" s="32">
        <v>58</v>
      </c>
      <c r="N75" s="32">
        <v>87</v>
      </c>
      <c r="P75" s="57" t="s">
        <v>67</v>
      </c>
      <c r="R75" s="57"/>
      <c r="S75" s="8" t="s">
        <v>233</v>
      </c>
    </row>
    <row r="76" spans="2:19" ht="27">
      <c r="B76">
        <v>144</v>
      </c>
      <c r="C76" t="s">
        <v>305</v>
      </c>
      <c r="D76" s="47">
        <v>74</v>
      </c>
      <c r="F76" s="46" t="s">
        <v>409</v>
      </c>
      <c r="H76" s="6">
        <v>10</v>
      </c>
      <c r="I76" s="6">
        <v>59</v>
      </c>
      <c r="J76" s="6">
        <v>84</v>
      </c>
      <c r="L76" s="32">
        <v>28</v>
      </c>
      <c r="M76" s="32">
        <v>56</v>
      </c>
      <c r="N76" s="32">
        <v>84</v>
      </c>
      <c r="P76" s="57" t="s">
        <v>71</v>
      </c>
      <c r="R76" s="57"/>
      <c r="S76" s="8" t="s">
        <v>233</v>
      </c>
    </row>
    <row r="77" spans="2:19" ht="27">
      <c r="B77">
        <v>145</v>
      </c>
      <c r="C77" t="s">
        <v>306</v>
      </c>
      <c r="D77" s="47">
        <v>75</v>
      </c>
      <c r="E77" t="s">
        <v>15</v>
      </c>
      <c r="F77" s="46" t="s">
        <v>410</v>
      </c>
      <c r="H77" s="6">
        <v>11</v>
      </c>
      <c r="I77" s="6">
        <v>60</v>
      </c>
      <c r="J77" s="6">
        <v>85</v>
      </c>
      <c r="L77" s="32">
        <v>27</v>
      </c>
      <c r="M77" s="32">
        <v>54</v>
      </c>
      <c r="N77" s="32">
        <v>81</v>
      </c>
      <c r="P77" s="57"/>
      <c r="R77" s="57"/>
      <c r="S77" s="8"/>
    </row>
    <row r="78" spans="2:19" ht="27">
      <c r="B78">
        <v>148</v>
      </c>
      <c r="C78" t="s">
        <v>307</v>
      </c>
      <c r="D78" s="47">
        <v>76</v>
      </c>
      <c r="E78" t="s">
        <v>15</v>
      </c>
      <c r="F78" s="46" t="s">
        <v>411</v>
      </c>
      <c r="H78" s="6">
        <v>12</v>
      </c>
      <c r="I78" s="6">
        <v>61</v>
      </c>
      <c r="J78" s="6">
        <v>86</v>
      </c>
      <c r="L78" s="32">
        <v>26</v>
      </c>
      <c r="M78" s="32">
        <v>52</v>
      </c>
      <c r="N78" s="32">
        <v>78</v>
      </c>
      <c r="P78" s="57"/>
      <c r="R78" s="57"/>
      <c r="S78" s="8"/>
    </row>
    <row r="79" spans="2:19" ht="27">
      <c r="B79">
        <v>151</v>
      </c>
      <c r="C79" t="s">
        <v>308</v>
      </c>
      <c r="D79" s="47">
        <v>77</v>
      </c>
      <c r="F79" s="46" t="s">
        <v>412</v>
      </c>
      <c r="H79" s="6">
        <v>14</v>
      </c>
      <c r="I79" s="6">
        <v>63</v>
      </c>
      <c r="J79" s="6">
        <v>88</v>
      </c>
      <c r="L79" s="32">
        <v>25</v>
      </c>
      <c r="M79" s="32">
        <v>50</v>
      </c>
      <c r="N79" s="32">
        <v>75</v>
      </c>
      <c r="P79" s="57" t="s">
        <v>55</v>
      </c>
      <c r="R79" s="57"/>
      <c r="S79" s="8" t="s">
        <v>234</v>
      </c>
    </row>
    <row r="80" spans="2:19" ht="27">
      <c r="B80">
        <v>155</v>
      </c>
      <c r="C80" t="s">
        <v>309</v>
      </c>
      <c r="D80" s="47">
        <v>78</v>
      </c>
      <c r="F80" s="46" t="s">
        <v>413</v>
      </c>
      <c r="H80" s="6">
        <v>17</v>
      </c>
      <c r="I80" s="6">
        <v>66</v>
      </c>
      <c r="J80" s="6">
        <v>91</v>
      </c>
      <c r="L80" s="32">
        <v>24</v>
      </c>
      <c r="M80" s="32">
        <v>48</v>
      </c>
      <c r="N80" s="32">
        <v>72</v>
      </c>
      <c r="P80" s="57"/>
      <c r="R80" s="57"/>
      <c r="S80" s="8"/>
    </row>
    <row r="81" spans="2:19" ht="27">
      <c r="B81">
        <v>156</v>
      </c>
      <c r="C81" t="s">
        <v>310</v>
      </c>
      <c r="D81" s="47">
        <v>79</v>
      </c>
      <c r="F81" s="46" t="s">
        <v>414</v>
      </c>
      <c r="H81" s="6">
        <v>21</v>
      </c>
      <c r="I81" s="6">
        <v>70</v>
      </c>
      <c r="J81" s="6">
        <v>95</v>
      </c>
      <c r="L81" s="32">
        <v>23</v>
      </c>
      <c r="M81" s="32">
        <v>46</v>
      </c>
      <c r="N81" s="32">
        <v>69</v>
      </c>
      <c r="P81" s="57"/>
      <c r="R81" s="57"/>
      <c r="S81" s="8"/>
    </row>
    <row r="82" spans="2:19" ht="27">
      <c r="B82">
        <v>157</v>
      </c>
      <c r="C82" t="s">
        <v>311</v>
      </c>
      <c r="D82" s="47">
        <v>80</v>
      </c>
      <c r="F82" s="46" t="s">
        <v>415</v>
      </c>
      <c r="H82" s="6">
        <v>23</v>
      </c>
      <c r="I82" s="6">
        <v>72</v>
      </c>
      <c r="J82" s="6">
        <v>97</v>
      </c>
      <c r="L82" s="32">
        <v>22</v>
      </c>
      <c r="M82" s="32">
        <v>44</v>
      </c>
      <c r="N82" s="32">
        <v>66</v>
      </c>
      <c r="P82" s="57"/>
      <c r="R82" s="57"/>
      <c r="S82" s="8"/>
    </row>
    <row r="83" spans="2:19" ht="27">
      <c r="B83">
        <v>159</v>
      </c>
      <c r="C83" t="s">
        <v>312</v>
      </c>
      <c r="D83" s="47">
        <v>81</v>
      </c>
      <c r="F83" s="46" t="s">
        <v>416</v>
      </c>
      <c r="H83" s="6">
        <v>26</v>
      </c>
      <c r="I83" s="6">
        <v>75</v>
      </c>
      <c r="J83" s="6">
        <v>100</v>
      </c>
      <c r="L83" s="32">
        <v>21</v>
      </c>
      <c r="M83" s="32">
        <v>42</v>
      </c>
      <c r="N83" s="32">
        <v>63</v>
      </c>
      <c r="P83" s="57"/>
      <c r="R83" s="57"/>
      <c r="S83" s="8"/>
    </row>
    <row r="84" spans="2:19" ht="27">
      <c r="B84">
        <v>166</v>
      </c>
      <c r="C84" t="s">
        <v>313</v>
      </c>
      <c r="D84" s="47">
        <v>82</v>
      </c>
      <c r="F84" s="46" t="s">
        <v>417</v>
      </c>
      <c r="H84" s="6">
        <v>29</v>
      </c>
      <c r="I84" s="6">
        <v>78</v>
      </c>
      <c r="J84" s="6">
        <v>103</v>
      </c>
      <c r="L84" s="32">
        <v>20</v>
      </c>
      <c r="M84" s="32">
        <v>40</v>
      </c>
      <c r="N84" s="32">
        <v>60</v>
      </c>
      <c r="P84" s="57"/>
      <c r="R84" s="57"/>
      <c r="S84" s="8"/>
    </row>
    <row r="85" spans="2:19" ht="27">
      <c r="B85">
        <v>167</v>
      </c>
      <c r="C85" t="s">
        <v>314</v>
      </c>
      <c r="D85" s="47">
        <v>83</v>
      </c>
      <c r="E85" t="s">
        <v>15</v>
      </c>
      <c r="F85" s="46" t="s">
        <v>418</v>
      </c>
      <c r="H85" s="6">
        <v>32</v>
      </c>
      <c r="I85" s="6">
        <v>81</v>
      </c>
      <c r="J85" s="6">
        <v>106</v>
      </c>
      <c r="L85" s="32">
        <v>18</v>
      </c>
      <c r="M85" s="32">
        <v>36</v>
      </c>
      <c r="N85" s="32">
        <v>54</v>
      </c>
      <c r="P85" s="57"/>
      <c r="R85" s="57"/>
      <c r="S85" s="8"/>
    </row>
    <row r="86" spans="2:19" ht="27">
      <c r="B86">
        <v>168</v>
      </c>
      <c r="C86" t="s">
        <v>315</v>
      </c>
      <c r="D86" s="47">
        <v>84</v>
      </c>
      <c r="F86" s="46" t="s">
        <v>419</v>
      </c>
      <c r="H86" s="6">
        <v>35</v>
      </c>
      <c r="I86" s="6">
        <v>84</v>
      </c>
      <c r="J86" s="6">
        <v>109</v>
      </c>
      <c r="L86" s="32">
        <v>15</v>
      </c>
      <c r="M86" s="32">
        <v>30</v>
      </c>
      <c r="N86" s="32">
        <v>45</v>
      </c>
      <c r="P86" s="57"/>
      <c r="R86" s="57"/>
      <c r="S86" s="8"/>
    </row>
    <row r="87" spans="2:19" ht="27">
      <c r="B87">
        <v>171</v>
      </c>
      <c r="C87" t="s">
        <v>316</v>
      </c>
      <c r="D87" s="47">
        <v>85</v>
      </c>
      <c r="F87" s="46" t="s">
        <v>420</v>
      </c>
      <c r="H87" s="6">
        <v>39</v>
      </c>
      <c r="I87" s="6">
        <v>88</v>
      </c>
      <c r="J87" s="6">
        <v>113</v>
      </c>
      <c r="L87" s="32">
        <v>13</v>
      </c>
      <c r="M87" s="32">
        <v>26</v>
      </c>
      <c r="N87" s="32">
        <v>39</v>
      </c>
      <c r="P87" s="57"/>
      <c r="R87" s="57"/>
      <c r="S87" s="8"/>
    </row>
    <row r="88" spans="2:19" ht="27">
      <c r="B88">
        <v>172</v>
      </c>
      <c r="C88" t="s">
        <v>317</v>
      </c>
      <c r="D88" s="47">
        <v>86</v>
      </c>
      <c r="F88" s="46" t="s">
        <v>421</v>
      </c>
      <c r="H88" s="6">
        <v>41</v>
      </c>
      <c r="I88" s="6">
        <v>90</v>
      </c>
      <c r="J88" s="6">
        <v>2</v>
      </c>
      <c r="L88" s="32">
        <v>12</v>
      </c>
      <c r="M88" s="32">
        <v>24</v>
      </c>
      <c r="N88" s="32">
        <v>36</v>
      </c>
      <c r="P88" s="57" t="s">
        <v>92</v>
      </c>
      <c r="R88" s="57"/>
      <c r="S88" s="8" t="s">
        <v>233</v>
      </c>
    </row>
    <row r="89" spans="2:19" ht="27">
      <c r="B89">
        <v>173</v>
      </c>
      <c r="C89" t="s">
        <v>318</v>
      </c>
      <c r="D89" s="47">
        <v>87</v>
      </c>
      <c r="E89" t="s">
        <v>15</v>
      </c>
      <c r="F89" s="46" t="s">
        <v>422</v>
      </c>
      <c r="H89" s="6">
        <v>44</v>
      </c>
      <c r="I89" s="6">
        <v>93</v>
      </c>
      <c r="J89" s="6">
        <v>5</v>
      </c>
      <c r="L89" s="32">
        <v>10</v>
      </c>
      <c r="M89" s="32">
        <v>20</v>
      </c>
      <c r="N89" s="32">
        <v>30</v>
      </c>
      <c r="P89" s="57" t="s">
        <v>63</v>
      </c>
      <c r="R89" s="57"/>
      <c r="S89" s="8" t="s">
        <v>233</v>
      </c>
    </row>
    <row r="90" spans="2:19" ht="27">
      <c r="B90">
        <v>174</v>
      </c>
      <c r="C90" t="s">
        <v>319</v>
      </c>
      <c r="D90" s="47">
        <v>88</v>
      </c>
      <c r="F90" s="46" t="s">
        <v>423</v>
      </c>
      <c r="H90" s="6">
        <v>47</v>
      </c>
      <c r="I90" s="6">
        <v>96</v>
      </c>
      <c r="J90" s="6">
        <v>8</v>
      </c>
      <c r="L90" s="32">
        <v>9</v>
      </c>
      <c r="M90" s="32">
        <v>18</v>
      </c>
      <c r="N90" s="32">
        <v>27</v>
      </c>
      <c r="P90" s="57" t="s">
        <v>56</v>
      </c>
      <c r="R90" s="57"/>
      <c r="S90" s="8" t="s">
        <v>234</v>
      </c>
    </row>
    <row r="91" spans="2:19" ht="27">
      <c r="B91">
        <v>175</v>
      </c>
      <c r="C91" t="s">
        <v>320</v>
      </c>
      <c r="D91" s="47">
        <v>89</v>
      </c>
      <c r="E91" t="s">
        <v>15</v>
      </c>
      <c r="F91" s="46" t="s">
        <v>424</v>
      </c>
      <c r="H91" s="6">
        <v>50</v>
      </c>
      <c r="I91" s="6">
        <v>99</v>
      </c>
      <c r="J91" s="6">
        <v>11</v>
      </c>
      <c r="L91" s="32">
        <v>8</v>
      </c>
      <c r="M91" s="32">
        <v>16</v>
      </c>
      <c r="N91" s="32">
        <v>24</v>
      </c>
      <c r="P91" s="57"/>
      <c r="R91" s="57"/>
      <c r="S91" s="8"/>
    </row>
    <row r="92" spans="2:19" ht="27">
      <c r="B92">
        <v>176</v>
      </c>
      <c r="C92" t="s">
        <v>321</v>
      </c>
      <c r="D92" s="47">
        <v>90</v>
      </c>
      <c r="F92" s="46" t="s">
        <v>425</v>
      </c>
      <c r="H92" s="6">
        <v>53</v>
      </c>
      <c r="I92" s="6">
        <v>102</v>
      </c>
      <c r="J92" s="6">
        <v>14</v>
      </c>
      <c r="L92" s="32"/>
      <c r="M92" s="32">
        <v>63</v>
      </c>
      <c r="N92" s="32"/>
      <c r="P92" s="57"/>
      <c r="R92" s="57"/>
      <c r="S92" s="8"/>
    </row>
    <row r="93" spans="2:19" ht="27">
      <c r="B93">
        <v>177</v>
      </c>
      <c r="C93" t="s">
        <v>322</v>
      </c>
      <c r="D93" s="47">
        <v>91</v>
      </c>
      <c r="F93" s="46" t="s">
        <v>426</v>
      </c>
      <c r="H93" s="6">
        <v>55</v>
      </c>
      <c r="I93" s="6">
        <v>104</v>
      </c>
      <c r="J93" s="6">
        <v>16</v>
      </c>
      <c r="L93" s="32"/>
      <c r="M93" s="32"/>
      <c r="N93" s="32">
        <v>24</v>
      </c>
      <c r="P93" s="57"/>
      <c r="R93" s="57"/>
      <c r="S93" s="8"/>
    </row>
    <row r="94" spans="2:19" ht="27">
      <c r="B94">
        <v>178</v>
      </c>
      <c r="C94" t="s">
        <v>323</v>
      </c>
      <c r="D94" s="47">
        <v>92</v>
      </c>
      <c r="F94" s="46" t="s">
        <v>427</v>
      </c>
      <c r="H94" s="6">
        <v>58</v>
      </c>
      <c r="I94" s="6">
        <v>107</v>
      </c>
      <c r="J94" s="6">
        <v>19</v>
      </c>
      <c r="L94" s="32">
        <v>56</v>
      </c>
      <c r="M94" s="32">
        <v>98</v>
      </c>
      <c r="N94" s="32"/>
      <c r="P94" s="57"/>
      <c r="R94" s="57"/>
      <c r="S94" s="8" t="s">
        <v>230</v>
      </c>
    </row>
    <row r="95" spans="2:19" ht="27">
      <c r="B95">
        <v>179</v>
      </c>
      <c r="C95" t="s">
        <v>324</v>
      </c>
      <c r="D95" s="47">
        <v>93</v>
      </c>
      <c r="F95" s="46" t="s">
        <v>428</v>
      </c>
      <c r="H95" s="6">
        <v>61</v>
      </c>
      <c r="I95" s="6">
        <v>110</v>
      </c>
      <c r="J95" s="6">
        <v>22</v>
      </c>
      <c r="L95" s="32">
        <v>25</v>
      </c>
      <c r="M95" s="32"/>
      <c r="N95" s="32">
        <v>60</v>
      </c>
      <c r="P95" s="57"/>
      <c r="R95" s="57"/>
      <c r="S95" s="8" t="s">
        <v>230</v>
      </c>
    </row>
    <row r="96" spans="2:19" ht="27">
      <c r="B96">
        <v>180</v>
      </c>
      <c r="C96" t="s">
        <v>325</v>
      </c>
      <c r="D96" s="47">
        <v>94</v>
      </c>
      <c r="F96" s="46" t="s">
        <v>429</v>
      </c>
      <c r="H96" s="6">
        <v>64</v>
      </c>
      <c r="I96" s="6">
        <v>113</v>
      </c>
      <c r="J96" s="6">
        <v>25</v>
      </c>
      <c r="L96" s="32">
        <v>19</v>
      </c>
      <c r="M96" s="32">
        <v>38</v>
      </c>
      <c r="N96" s="32">
        <v>57</v>
      </c>
      <c r="P96" s="57"/>
      <c r="R96" s="57"/>
      <c r="S96" s="8"/>
    </row>
    <row r="97" spans="2:19" ht="27">
      <c r="B97">
        <v>181</v>
      </c>
      <c r="C97" t="s">
        <v>33</v>
      </c>
      <c r="D97" s="47">
        <v>95</v>
      </c>
      <c r="F97" s="46" t="s">
        <v>430</v>
      </c>
      <c r="H97" s="6">
        <v>67</v>
      </c>
      <c r="I97" s="6">
        <v>3</v>
      </c>
      <c r="J97" s="6">
        <v>28</v>
      </c>
      <c r="L97" s="32"/>
      <c r="M97" s="32">
        <v>32</v>
      </c>
      <c r="N97" s="32">
        <v>44</v>
      </c>
      <c r="P97" s="57" t="s">
        <v>84</v>
      </c>
      <c r="R97" s="57"/>
      <c r="S97" s="8" t="s">
        <v>233</v>
      </c>
    </row>
    <row r="98" spans="2:19" ht="27">
      <c r="B98">
        <v>188</v>
      </c>
      <c r="C98" t="s">
        <v>326</v>
      </c>
      <c r="D98" s="47">
        <v>96</v>
      </c>
      <c r="F98" s="46" t="s">
        <v>431</v>
      </c>
      <c r="H98" s="6">
        <v>70</v>
      </c>
      <c r="I98" s="6">
        <v>6</v>
      </c>
      <c r="J98" s="6">
        <v>31</v>
      </c>
      <c r="L98" s="32">
        <v>32</v>
      </c>
      <c r="M98" s="32">
        <v>64</v>
      </c>
      <c r="N98" s="32">
        <v>96</v>
      </c>
      <c r="P98" s="57" t="s">
        <v>116</v>
      </c>
      <c r="R98" s="57"/>
      <c r="S98" s="8" t="s">
        <v>233</v>
      </c>
    </row>
    <row r="99" spans="2:19" ht="27">
      <c r="B99">
        <v>190</v>
      </c>
      <c r="C99" t="s">
        <v>327</v>
      </c>
      <c r="D99" s="47">
        <v>97</v>
      </c>
      <c r="F99" s="46" t="s">
        <v>432</v>
      </c>
      <c r="H99" s="6">
        <v>73</v>
      </c>
      <c r="I99" s="6">
        <v>9</v>
      </c>
      <c r="J99" s="6">
        <v>34</v>
      </c>
      <c r="L99" s="32">
        <v>33</v>
      </c>
      <c r="M99" s="32"/>
      <c r="N99" s="32"/>
      <c r="P99" s="57" t="s">
        <v>95</v>
      </c>
      <c r="R99" s="57"/>
      <c r="S99" s="8" t="s">
        <v>235</v>
      </c>
    </row>
    <row r="100" spans="2:19" ht="27">
      <c r="B100">
        <v>191</v>
      </c>
      <c r="C100" t="s">
        <v>328</v>
      </c>
      <c r="D100" s="47">
        <v>98</v>
      </c>
      <c r="F100" s="46" t="s">
        <v>433</v>
      </c>
      <c r="H100" s="6">
        <v>76</v>
      </c>
      <c r="I100" s="6">
        <v>12</v>
      </c>
      <c r="J100" s="6">
        <v>37</v>
      </c>
      <c r="L100" s="32">
        <v>16</v>
      </c>
      <c r="M100" s="32">
        <v>32</v>
      </c>
      <c r="N100" s="32">
        <v>48</v>
      </c>
      <c r="P100" s="57" t="s">
        <v>81</v>
      </c>
      <c r="R100" s="57"/>
      <c r="S100" s="8" t="s">
        <v>235</v>
      </c>
    </row>
    <row r="101" spans="2:19" ht="27">
      <c r="B101">
        <v>192</v>
      </c>
      <c r="C101" t="s">
        <v>34</v>
      </c>
      <c r="D101" s="47">
        <v>99</v>
      </c>
      <c r="F101" s="46" t="s">
        <v>434</v>
      </c>
      <c r="H101" s="6">
        <v>80</v>
      </c>
      <c r="I101" s="6">
        <v>16</v>
      </c>
      <c r="J101" s="6">
        <v>41</v>
      </c>
      <c r="L101" s="32">
        <v>11</v>
      </c>
      <c r="M101" s="32">
        <v>22</v>
      </c>
      <c r="N101" s="32">
        <v>33</v>
      </c>
      <c r="P101" s="57" t="s">
        <v>464</v>
      </c>
      <c r="R101" s="57"/>
      <c r="S101" s="8"/>
    </row>
    <row r="102" spans="2:19" ht="27">
      <c r="B102">
        <v>195</v>
      </c>
      <c r="C102" t="s">
        <v>329</v>
      </c>
      <c r="D102" s="47">
        <v>100</v>
      </c>
      <c r="E102" s="46" t="s">
        <v>15</v>
      </c>
      <c r="F102" s="46" t="s">
        <v>435</v>
      </c>
      <c r="H102" s="6">
        <v>84</v>
      </c>
      <c r="I102" s="6">
        <v>20</v>
      </c>
      <c r="J102" s="6">
        <v>45</v>
      </c>
      <c r="L102" s="32">
        <v>31</v>
      </c>
      <c r="M102" s="32">
        <v>62</v>
      </c>
      <c r="N102" s="32">
        <v>93</v>
      </c>
      <c r="P102" s="57"/>
      <c r="R102" s="57"/>
      <c r="S102" s="8"/>
    </row>
    <row r="103" spans="2:19" ht="27">
      <c r="B103">
        <v>201</v>
      </c>
      <c r="C103" t="s">
        <v>330</v>
      </c>
      <c r="D103" s="47">
        <v>101</v>
      </c>
      <c r="F103" s="46" t="s">
        <v>436</v>
      </c>
      <c r="H103" s="6">
        <v>86</v>
      </c>
      <c r="I103" s="6">
        <v>22</v>
      </c>
      <c r="J103" s="6">
        <v>47</v>
      </c>
      <c r="L103" s="32">
        <v>1</v>
      </c>
      <c r="M103" s="32"/>
      <c r="N103" s="32"/>
      <c r="P103" s="57"/>
      <c r="R103" s="57"/>
      <c r="S103" s="8"/>
    </row>
    <row r="104" spans="2:19" ht="27">
      <c r="B104">
        <v>203</v>
      </c>
      <c r="C104" t="s">
        <v>331</v>
      </c>
      <c r="D104" s="47">
        <v>102</v>
      </c>
      <c r="E104" t="s">
        <v>15</v>
      </c>
      <c r="F104" s="46" t="s">
        <v>437</v>
      </c>
      <c r="H104" s="6">
        <v>89</v>
      </c>
      <c r="I104" s="6">
        <v>1</v>
      </c>
      <c r="J104" s="6">
        <v>50</v>
      </c>
      <c r="L104" s="32">
        <v>14</v>
      </c>
      <c r="M104" s="32">
        <v>28</v>
      </c>
      <c r="N104" s="32">
        <v>42</v>
      </c>
      <c r="P104" s="57" t="s">
        <v>88</v>
      </c>
      <c r="R104" s="57"/>
      <c r="S104" s="8" t="s">
        <v>233</v>
      </c>
    </row>
    <row r="105" spans="2:19" ht="27">
      <c r="B105">
        <v>204</v>
      </c>
      <c r="C105" t="s">
        <v>35</v>
      </c>
      <c r="D105" s="47">
        <v>103</v>
      </c>
      <c r="F105" s="46" t="s">
        <v>438</v>
      </c>
      <c r="H105" s="6">
        <v>91</v>
      </c>
      <c r="I105" s="6">
        <v>27</v>
      </c>
      <c r="J105" s="6">
        <v>52</v>
      </c>
      <c r="L105" s="32">
        <v>17</v>
      </c>
      <c r="M105" s="32">
        <v>34</v>
      </c>
      <c r="N105" s="32">
        <v>51</v>
      </c>
      <c r="P105" s="57"/>
      <c r="R105" s="57"/>
      <c r="S105" s="8"/>
    </row>
    <row r="106" spans="2:19" ht="27">
      <c r="B106">
        <v>207</v>
      </c>
      <c r="C106" t="s">
        <v>332</v>
      </c>
      <c r="D106" s="47">
        <v>104</v>
      </c>
      <c r="F106" s="46" t="s">
        <v>439</v>
      </c>
      <c r="H106" s="6"/>
      <c r="I106" s="6">
        <v>105</v>
      </c>
      <c r="J106" s="6"/>
      <c r="L106" s="32"/>
      <c r="M106" s="32"/>
      <c r="N106" s="32"/>
      <c r="P106" s="57"/>
      <c r="R106" s="57"/>
      <c r="S106" s="8"/>
    </row>
    <row r="107" spans="2:19" ht="27">
      <c r="B107">
        <v>213</v>
      </c>
      <c r="C107" t="s">
        <v>333</v>
      </c>
      <c r="D107" s="47">
        <v>105</v>
      </c>
      <c r="F107" s="46" t="s">
        <v>440</v>
      </c>
      <c r="H107" s="6"/>
      <c r="I107" s="6"/>
      <c r="J107" s="6">
        <v>106</v>
      </c>
      <c r="L107" s="32"/>
      <c r="M107" s="32"/>
      <c r="N107" s="32"/>
      <c r="P107" s="57"/>
      <c r="R107" s="57"/>
      <c r="S107" s="8"/>
    </row>
    <row r="108" spans="2:19" ht="27">
      <c r="B108">
        <v>216</v>
      </c>
      <c r="C108" t="s">
        <v>36</v>
      </c>
      <c r="D108" s="47">
        <v>106</v>
      </c>
      <c r="F108" s="46" t="s">
        <v>441</v>
      </c>
      <c r="H108" s="6">
        <v>107</v>
      </c>
      <c r="I108" s="6">
        <v>107</v>
      </c>
      <c r="J108" s="6"/>
      <c r="L108" s="32"/>
      <c r="M108" s="32"/>
      <c r="N108" s="32"/>
      <c r="P108" s="57"/>
      <c r="R108" s="57"/>
      <c r="S108" s="8"/>
    </row>
    <row r="109" spans="2:19" ht="27">
      <c r="B109">
        <v>217</v>
      </c>
      <c r="C109" t="s">
        <v>37</v>
      </c>
      <c r="D109" s="47">
        <v>107</v>
      </c>
      <c r="F109" s="46" t="s">
        <v>442</v>
      </c>
      <c r="H109" s="6"/>
      <c r="I109" s="6">
        <v>108</v>
      </c>
      <c r="J109" s="6">
        <v>108</v>
      </c>
      <c r="L109" s="32"/>
      <c r="M109" s="32"/>
      <c r="N109" s="32"/>
      <c r="P109" s="57"/>
      <c r="R109" s="57"/>
      <c r="S109" s="8"/>
    </row>
    <row r="110" spans="2:19" ht="27">
      <c r="B110">
        <v>219</v>
      </c>
      <c r="C110" t="s">
        <v>334</v>
      </c>
      <c r="D110" s="47">
        <v>108</v>
      </c>
      <c r="F110" s="46" t="s">
        <v>443</v>
      </c>
      <c r="H110" s="6">
        <v>104</v>
      </c>
      <c r="I110" s="6"/>
      <c r="J110" s="6"/>
      <c r="L110" s="32"/>
      <c r="M110" s="32"/>
      <c r="N110" s="32"/>
      <c r="P110" s="57"/>
      <c r="R110" s="57"/>
      <c r="S110" s="8"/>
    </row>
    <row r="111" spans="2:19" ht="27">
      <c r="B111">
        <v>222</v>
      </c>
      <c r="C111" t="s">
        <v>335</v>
      </c>
      <c r="D111" s="47">
        <v>109</v>
      </c>
      <c r="F111" s="46" t="s">
        <v>444</v>
      </c>
      <c r="H111" s="6">
        <v>109</v>
      </c>
      <c r="I111" s="6"/>
      <c r="J111" s="6">
        <v>109</v>
      </c>
      <c r="L111" s="32"/>
      <c r="M111" s="32"/>
      <c r="N111" s="32"/>
      <c r="P111" s="57"/>
      <c r="R111" s="57"/>
      <c r="S111" s="8"/>
    </row>
    <row r="112" spans="4:19" ht="27">
      <c r="D112" s="47">
        <v>110</v>
      </c>
      <c r="F112" s="46"/>
      <c r="H112" s="6"/>
      <c r="I112" s="6"/>
      <c r="J112" s="6"/>
      <c r="L112" s="32"/>
      <c r="M112" s="32"/>
      <c r="N112" s="32"/>
      <c r="P112" s="57"/>
      <c r="R112" s="57"/>
      <c r="S112" s="8"/>
    </row>
    <row r="113" spans="4:19" ht="27">
      <c r="D113" s="47">
        <v>111</v>
      </c>
      <c r="F113" s="46"/>
      <c r="H113" s="6"/>
      <c r="I113" s="6"/>
      <c r="J113" s="6"/>
      <c r="L113" s="32"/>
      <c r="M113" s="32"/>
      <c r="N113" s="32"/>
      <c r="P113" s="57"/>
      <c r="R113" s="57"/>
      <c r="S113" s="8"/>
    </row>
    <row r="114" spans="4:19" ht="27">
      <c r="D114" s="47">
        <v>112</v>
      </c>
      <c r="F114" s="46"/>
      <c r="H114" s="6"/>
      <c r="I114" s="6"/>
      <c r="J114" s="6"/>
      <c r="L114" s="32"/>
      <c r="M114" s="32"/>
      <c r="N114" s="32"/>
      <c r="P114" s="57"/>
      <c r="R114" s="57"/>
      <c r="S114" s="8"/>
    </row>
    <row r="115" spans="3:19" ht="27">
      <c r="C115" s="46"/>
      <c r="D115" s="47">
        <v>114</v>
      </c>
      <c r="F115" s="46"/>
      <c r="H115" s="6"/>
      <c r="I115" s="6"/>
      <c r="J115" s="6"/>
      <c r="L115" s="32"/>
      <c r="M115" s="32"/>
      <c r="N115" s="32"/>
      <c r="P115" s="57"/>
      <c r="R115" s="57"/>
      <c r="S115" s="8"/>
    </row>
  </sheetData>
  <sheetProtection/>
  <conditionalFormatting sqref="H3:H115">
    <cfRule type="top10" priority="32" dxfId="45" stopIfTrue="1" rank="1" bottom="1"/>
    <cfRule type="colorScale" priority="33" dxfId="2">
      <colorScale>
        <cfvo type="min" val="0"/>
        <cfvo type="percentile" val="50"/>
        <cfvo type="max"/>
        <color rgb="FF5A8AC6"/>
        <color rgb="FFFFEB84"/>
        <color rgb="FFF8696B"/>
      </colorScale>
    </cfRule>
  </conditionalFormatting>
  <conditionalFormatting sqref="J3:J115">
    <cfRule type="top10" priority="30" dxfId="45" stopIfTrue="1" rank="1" bottom="1"/>
    <cfRule type="colorScale" priority="31" dxfId="2">
      <colorScale>
        <cfvo type="min" val="0"/>
        <cfvo type="percentile" val="50"/>
        <cfvo type="max"/>
        <color rgb="FF5A8AC6"/>
        <color rgb="FFFFEB84"/>
        <color rgb="FFF8696B"/>
      </colorScale>
    </cfRule>
  </conditionalFormatting>
  <conditionalFormatting sqref="I3:I115">
    <cfRule type="top10" priority="28" dxfId="45" stopIfTrue="1" rank="1" bottom="1"/>
    <cfRule type="colorScale" priority="29" dxfId="2">
      <colorScale>
        <cfvo type="min" val="0"/>
        <cfvo type="percentile" val="50"/>
        <cfvo type="max"/>
        <color rgb="FF5A8AC6"/>
        <color rgb="FFFFEB84"/>
        <color rgb="FFF8696B"/>
      </colorScale>
    </cfRule>
  </conditionalFormatting>
  <conditionalFormatting sqref="P3:P115 R3:R115">
    <cfRule type="notContainsBlanks" priority="27" dxfId="45">
      <formula>LEN(TRIM(P3))&gt;0</formula>
    </cfRule>
  </conditionalFormatting>
  <conditionalFormatting sqref="P3:P115">
    <cfRule type="top10" priority="25" dxfId="45" rank="1" bottom="1"/>
    <cfRule type="colorScale" priority="26" dxfId="2">
      <colorScale>
        <cfvo type="min" val="0"/>
        <cfvo type="percentile" val="50"/>
        <cfvo type="max"/>
        <color rgb="FF5A8AC6"/>
        <color rgb="FFFFEB84"/>
        <color rgb="FFF8696B"/>
      </colorScale>
    </cfRule>
  </conditionalFormatting>
  <conditionalFormatting sqref="P67">
    <cfRule type="expression" priority="24" dxfId="2" stopIfTrue="1">
      <formula>ISBLANK($B67)</formula>
    </cfRule>
  </conditionalFormatting>
  <conditionalFormatting sqref="R3:R115">
    <cfRule type="top10" priority="22" dxfId="45" rank="1" bottom="1"/>
    <cfRule type="colorScale" priority="23" dxfId="2">
      <colorScale>
        <cfvo type="min" val="0"/>
        <cfvo type="percentile" val="50"/>
        <cfvo type="max"/>
        <color rgb="FF5A8AC6"/>
        <color rgb="FFFFEB84"/>
        <color rgb="FFF8696B"/>
      </colorScale>
    </cfRule>
  </conditionalFormatting>
  <conditionalFormatting sqref="R67">
    <cfRule type="expression" priority="21" dxfId="2" stopIfTrue="1">
      <formula>ISBLANK($B67)</formula>
    </cfRule>
  </conditionalFormatting>
  <conditionalFormatting sqref="R3:R115">
    <cfRule type="notContainsBlanks" priority="20" dxfId="45">
      <formula>LEN(TRIM(R3))&gt;0</formula>
    </cfRule>
  </conditionalFormatting>
  <conditionalFormatting sqref="R3:R115">
    <cfRule type="top10" priority="18" dxfId="45" rank="1" bottom="1"/>
    <cfRule type="colorScale" priority="19" dxfId="2">
      <colorScale>
        <cfvo type="min" val="0"/>
        <cfvo type="percentile" val="50"/>
        <cfvo type="max"/>
        <color rgb="FF5A8AC6"/>
        <color rgb="FFFFEB84"/>
        <color rgb="FFF8696B"/>
      </colorScale>
    </cfRule>
  </conditionalFormatting>
  <conditionalFormatting sqref="R67">
    <cfRule type="expression" priority="17" dxfId="2" stopIfTrue="1">
      <formula>ISBLANK($B67)</formula>
    </cfRule>
  </conditionalFormatting>
  <conditionalFormatting sqref="H3:H115">
    <cfRule type="top10" priority="15" dxfId="45" stopIfTrue="1" rank="1" bottom="1"/>
    <cfRule type="colorScale" priority="16" dxfId="2">
      <colorScale>
        <cfvo type="min" val="0"/>
        <cfvo type="percentile" val="50"/>
        <cfvo type="max"/>
        <color rgb="FF5A8AC6"/>
        <color rgb="FFFFEB84"/>
        <color rgb="FFF8696B"/>
      </colorScale>
    </cfRule>
  </conditionalFormatting>
  <conditionalFormatting sqref="J3:J115">
    <cfRule type="top10" priority="13" dxfId="45" stopIfTrue="1" rank="1" bottom="1"/>
    <cfRule type="colorScale" priority="14" dxfId="2">
      <colorScale>
        <cfvo type="min" val="0"/>
        <cfvo type="percentile" val="50"/>
        <cfvo type="max"/>
        <color rgb="FF5A8AC6"/>
        <color rgb="FFFFEB84"/>
        <color rgb="FFF8696B"/>
      </colorScale>
    </cfRule>
  </conditionalFormatting>
  <conditionalFormatting sqref="I3:I115">
    <cfRule type="top10" priority="11" dxfId="45" stopIfTrue="1" rank="1" bottom="1"/>
    <cfRule type="colorScale" priority="12" dxfId="2">
      <colorScale>
        <cfvo type="min" val="0"/>
        <cfvo type="percentile" val="50"/>
        <cfvo type="max"/>
        <color rgb="FF5A8AC6"/>
        <color rgb="FFFFEB84"/>
        <color rgb="FFF8696B"/>
      </colorScale>
    </cfRule>
  </conditionalFormatting>
  <conditionalFormatting sqref="H3:H115">
    <cfRule type="top10" priority="9" dxfId="45" stopIfTrue="1" rank="1" bottom="1"/>
    <cfRule type="colorScale" priority="10" dxfId="2">
      <colorScale>
        <cfvo type="min" val="0"/>
        <cfvo type="percentile" val="50"/>
        <cfvo type="max"/>
        <color rgb="FF5A8AC6"/>
        <color rgb="FFFFEB84"/>
        <color rgb="FFF8696B"/>
      </colorScale>
    </cfRule>
  </conditionalFormatting>
  <conditionalFormatting sqref="J3:J115">
    <cfRule type="top10" priority="7" dxfId="45" stopIfTrue="1" rank="1" bottom="1"/>
    <cfRule type="colorScale" priority="8" dxfId="2">
      <colorScale>
        <cfvo type="min" val="0"/>
        <cfvo type="percentile" val="50"/>
        <cfvo type="max"/>
        <color rgb="FF5A8AC6"/>
        <color rgb="FFFFEB84"/>
        <color rgb="FFF8696B"/>
      </colorScale>
    </cfRule>
  </conditionalFormatting>
  <conditionalFormatting sqref="I3:I115">
    <cfRule type="top10" priority="5" dxfId="45" stopIfTrue="1" rank="1" bottom="1"/>
    <cfRule type="colorScale" priority="6" dxfId="2">
      <colorScale>
        <cfvo type="min" val="0"/>
        <cfvo type="percentile" val="50"/>
        <cfvo type="max"/>
        <color rgb="FF5A8AC6"/>
        <color rgb="FFFFEB84"/>
        <color rgb="FFF8696B"/>
      </colorScale>
    </cfRule>
  </conditionalFormatting>
  <conditionalFormatting sqref="P3:P115">
    <cfRule type="notContainsBlanks" priority="4" dxfId="45">
      <formula>LEN(TRIM(P3))&gt;0</formula>
    </cfRule>
  </conditionalFormatting>
  <conditionalFormatting sqref="P3:P115">
    <cfRule type="top10" priority="2" dxfId="45" rank="1" bottom="1"/>
    <cfRule type="colorScale" priority="3" dxfId="2">
      <colorScale>
        <cfvo type="min" val="0"/>
        <cfvo type="percentile" val="50"/>
        <cfvo type="max"/>
        <color rgb="FF5A8AC6"/>
        <color rgb="FFFFEB84"/>
        <color rgb="FFF8696B"/>
      </colorScale>
    </cfRule>
  </conditionalFormatting>
  <conditionalFormatting sqref="P67">
    <cfRule type="expression" priority="1" dxfId="2" stopIfTrue="1">
      <formula>ISBLANK($B67)</formula>
    </cfRule>
  </conditionalFormatting>
  <dataValidations count="3">
    <dataValidation errorStyle="warning" type="whole" operator="lessThanOrEqual" allowBlank="1" showInputMessage="1" showErrorMessage="1" promptTitle="Score Entry" prompt="Enter the scores from the robot game." errorTitle="Too Large" error="Are  you sure of this entry?" sqref="L2:N115">
      <formula1>1000</formula1>
    </dataValidation>
    <dataValidation errorStyle="warning" type="list" allowBlank="1" showInputMessage="1" showErrorMessage="1" promptTitle="Advancment Code" prompt="Enter a valid advancement code for this team. See the table at the bottom for valid advancment codes." errorTitle="Warning" error="This does not appear to be a valid advancement code. Are you sure you want to use this code?" sqref="R3:R115">
      <formula1>$U$128:$U$136</formula1>
    </dataValidation>
    <dataValidation errorStyle="warning" type="list" allowBlank="1" showInputMessage="1" showErrorMessage="1" promptTitle="Award Code" prompt="Enter a valid award code for this team's award. See the list at the bottom for valid codes." errorTitle="Warning" error="This does not appear to be a valid code. Are you sure you want to enter this value?" sqref="P3:P115">
      <formula1>$T$128:$T$160</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4"/>
  <dimension ref="B2:J110"/>
  <sheetViews>
    <sheetView showGridLines="0" zoomScale="90" zoomScaleNormal="90" zoomScalePageLayoutView="0" workbookViewId="0" topLeftCell="A1">
      <selection activeCell="E49" sqref="E49"/>
    </sheetView>
  </sheetViews>
  <sheetFormatPr defaultColWidth="9.140625" defaultRowHeight="12.75"/>
  <cols>
    <col min="1" max="1" width="4.7109375" style="27" customWidth="1"/>
    <col min="2" max="2" width="25.28125" style="27" customWidth="1"/>
    <col min="3" max="3" width="15.28125" style="27" customWidth="1"/>
    <col min="4" max="4" width="40.57421875" style="27" customWidth="1"/>
    <col min="5" max="5" width="9.140625" style="27" customWidth="1"/>
    <col min="6" max="6" width="23.00390625" style="87" bestFit="1" customWidth="1"/>
    <col min="7" max="7" width="21.7109375" style="87" customWidth="1"/>
    <col min="8" max="8" width="13.140625" style="87" bestFit="1" customWidth="1"/>
    <col min="9" max="16384" width="9.140625" style="27" customWidth="1"/>
  </cols>
  <sheetData>
    <row r="2" spans="2:10" s="1" customFormat="1" ht="36.75" customHeight="1">
      <c r="B2" s="43" t="s">
        <v>14</v>
      </c>
      <c r="C2" s="44">
        <v>0.1</v>
      </c>
      <c r="D2" s="45" t="s">
        <v>16</v>
      </c>
      <c r="E2" s="22"/>
      <c r="F2" s="89"/>
      <c r="G2" s="89"/>
      <c r="H2" s="89"/>
      <c r="I2" s="22"/>
      <c r="J2" s="21"/>
    </row>
    <row r="3" spans="2:10" s="1" customFormat="1" ht="36.75" customHeight="1" thickBot="1">
      <c r="B3" s="43" t="s">
        <v>14</v>
      </c>
      <c r="C3" s="44">
        <v>0.5</v>
      </c>
      <c r="D3" s="45" t="s">
        <v>16</v>
      </c>
      <c r="E3" s="22"/>
      <c r="F3" s="89"/>
      <c r="G3" s="89"/>
      <c r="H3" s="89"/>
      <c r="I3" s="22"/>
      <c r="J3" s="21"/>
    </row>
    <row r="4" spans="2:10" s="1" customFormat="1" ht="45">
      <c r="B4" s="28" t="s">
        <v>483</v>
      </c>
      <c r="C4" s="23"/>
      <c r="D4" s="26" t="s">
        <v>12</v>
      </c>
      <c r="E4" s="2"/>
      <c r="F4" s="88"/>
      <c r="G4" s="88"/>
      <c r="H4" s="88"/>
      <c r="I4" s="21"/>
      <c r="J4" s="21"/>
    </row>
    <row r="5" spans="2:10" s="1" customFormat="1" ht="60">
      <c r="B5" s="25" t="s">
        <v>17</v>
      </c>
      <c r="C5" s="29"/>
      <c r="D5" s="24" t="s">
        <v>12</v>
      </c>
      <c r="E5" s="2"/>
      <c r="F5" s="88"/>
      <c r="G5" s="88"/>
      <c r="H5" s="88"/>
      <c r="I5" s="21"/>
      <c r="J5" s="21"/>
    </row>
    <row r="6" spans="2:10" s="1" customFormat="1" ht="44.25" customHeight="1">
      <c r="B6" s="95" t="s">
        <v>18</v>
      </c>
      <c r="C6" s="44" t="e">
        <f>C5/C4</f>
        <v>#DIV/0!</v>
      </c>
      <c r="D6" s="45" t="e">
        <f>IF(C6&lt;C2,"Not enough teams are advancing per FLL recommendations",IF(C6&gt;C3,"Too many teams are advancing per FLL recommendations","Calculated
(Don't change this value manually)"))</f>
        <v>#DIV/0!</v>
      </c>
      <c r="E6" s="2"/>
      <c r="F6" s="88"/>
      <c r="G6" s="88"/>
      <c r="H6" s="88"/>
      <c r="I6" s="21"/>
      <c r="J6" s="21"/>
    </row>
    <row r="7" spans="2:10" s="1" customFormat="1" ht="37.5" customHeight="1">
      <c r="B7" s="153" t="s">
        <v>20</v>
      </c>
      <c r="C7" s="44">
        <v>0.4</v>
      </c>
      <c r="D7" s="151" t="s">
        <v>47</v>
      </c>
      <c r="E7" s="2"/>
      <c r="F7" s="88"/>
      <c r="G7" s="88"/>
      <c r="H7" s="88"/>
      <c r="I7" s="21"/>
      <c r="J7" s="21"/>
    </row>
    <row r="8" spans="2:10" s="1" customFormat="1" ht="37.5" customHeight="1" thickBot="1">
      <c r="B8" s="154"/>
      <c r="C8" s="94" t="str">
        <f>"In the top "&amp;ROUNDDOWN(C7*C4,0)&amp;" teams"</f>
        <v>In the top 0 teams</v>
      </c>
      <c r="D8" s="152"/>
      <c r="E8" s="2"/>
      <c r="F8" s="88"/>
      <c r="G8" s="88"/>
      <c r="H8" s="88"/>
      <c r="I8" s="21"/>
      <c r="J8" s="21"/>
    </row>
    <row r="9" spans="3:6" ht="12.75">
      <c r="C9" s="93"/>
      <c r="F9" s="88"/>
    </row>
    <row r="10" spans="6:8" ht="38.25" customHeight="1">
      <c r="F10" s="90" t="s">
        <v>481</v>
      </c>
      <c r="G10" s="90" t="s">
        <v>484</v>
      </c>
      <c r="H10" s="90" t="s">
        <v>482</v>
      </c>
    </row>
    <row r="11" spans="6:8" ht="18">
      <c r="F11" s="91">
        <v>0.01</v>
      </c>
      <c r="G11" s="91">
        <v>0.2</v>
      </c>
      <c r="H11" s="91">
        <v>0.4</v>
      </c>
    </row>
    <row r="12" spans="6:8" ht="18">
      <c r="F12" s="91">
        <v>0.02</v>
      </c>
      <c r="G12" s="91">
        <v>0.2</v>
      </c>
      <c r="H12" s="91">
        <v>0.4</v>
      </c>
    </row>
    <row r="13" spans="6:8" ht="18">
      <c r="F13" s="91">
        <v>0.03</v>
      </c>
      <c r="G13" s="91">
        <v>0.2</v>
      </c>
      <c r="H13" s="91">
        <v>0.4</v>
      </c>
    </row>
    <row r="14" spans="6:8" ht="18">
      <c r="F14" s="91">
        <v>0.04</v>
      </c>
      <c r="G14" s="91">
        <v>0.2</v>
      </c>
      <c r="H14" s="91">
        <v>0.4</v>
      </c>
    </row>
    <row r="15" spans="6:8" ht="18">
      <c r="F15" s="91">
        <v>0.05</v>
      </c>
      <c r="G15" s="91">
        <v>0.2</v>
      </c>
      <c r="H15" s="91">
        <v>0.4</v>
      </c>
    </row>
    <row r="16" spans="6:8" ht="18">
      <c r="F16" s="92">
        <v>0.06</v>
      </c>
      <c r="G16" s="91">
        <v>0.2</v>
      </c>
      <c r="H16" s="91">
        <v>0.4</v>
      </c>
    </row>
    <row r="17" spans="6:8" ht="18">
      <c r="F17" s="92">
        <v>0.07</v>
      </c>
      <c r="G17" s="91">
        <v>0.2</v>
      </c>
      <c r="H17" s="91">
        <v>0.4</v>
      </c>
    </row>
    <row r="18" spans="6:8" ht="18">
      <c r="F18" s="91">
        <v>0.08</v>
      </c>
      <c r="G18" s="91">
        <v>0.2</v>
      </c>
      <c r="H18" s="91">
        <v>0.4</v>
      </c>
    </row>
    <row r="19" spans="6:8" ht="18">
      <c r="F19" s="91">
        <v>0.09</v>
      </c>
      <c r="G19" s="91">
        <v>0.2</v>
      </c>
      <c r="H19" s="91">
        <v>0.4</v>
      </c>
    </row>
    <row r="20" spans="6:8" ht="18">
      <c r="F20" s="91">
        <v>0.1</v>
      </c>
      <c r="G20" s="91">
        <v>0.2</v>
      </c>
      <c r="H20" s="91">
        <v>0.4</v>
      </c>
    </row>
    <row r="21" spans="6:8" ht="18">
      <c r="F21" s="92">
        <v>0.11</v>
      </c>
      <c r="G21" s="91">
        <v>0.2</v>
      </c>
      <c r="H21" s="91">
        <v>0.4</v>
      </c>
    </row>
    <row r="22" spans="6:8" ht="18">
      <c r="F22" s="92">
        <v>0.12</v>
      </c>
      <c r="G22" s="91">
        <v>0.2</v>
      </c>
      <c r="H22" s="91">
        <v>0.4</v>
      </c>
    </row>
    <row r="23" spans="6:8" ht="18">
      <c r="F23" s="91">
        <v>0.13</v>
      </c>
      <c r="G23" s="91">
        <v>0.2</v>
      </c>
      <c r="H23" s="91">
        <v>0.4</v>
      </c>
    </row>
    <row r="24" spans="6:8" ht="18">
      <c r="F24" s="91">
        <v>0.14</v>
      </c>
      <c r="G24" s="91">
        <v>0.2</v>
      </c>
      <c r="H24" s="91">
        <v>0.4</v>
      </c>
    </row>
    <row r="25" spans="6:8" ht="18">
      <c r="F25" s="91">
        <v>0.15</v>
      </c>
      <c r="G25" s="91">
        <v>0.2</v>
      </c>
      <c r="H25" s="91">
        <v>0.4</v>
      </c>
    </row>
    <row r="26" spans="6:8" ht="18">
      <c r="F26" s="92">
        <v>0.16</v>
      </c>
      <c r="G26" s="91">
        <v>0.2</v>
      </c>
      <c r="H26" s="91">
        <v>0.4</v>
      </c>
    </row>
    <row r="27" spans="6:8" ht="18">
      <c r="F27" s="92">
        <v>0.17</v>
      </c>
      <c r="G27" s="91">
        <v>0.2</v>
      </c>
      <c r="H27" s="91">
        <v>0.4</v>
      </c>
    </row>
    <row r="28" spans="6:8" ht="18">
      <c r="F28" s="91">
        <v>0.18</v>
      </c>
      <c r="G28" s="91">
        <v>0.2</v>
      </c>
      <c r="H28" s="91">
        <v>0.4</v>
      </c>
    </row>
    <row r="29" spans="6:8" ht="18">
      <c r="F29" s="91">
        <v>0.19</v>
      </c>
      <c r="G29" s="91">
        <v>0.2</v>
      </c>
      <c r="H29" s="91">
        <v>0.4</v>
      </c>
    </row>
    <row r="30" spans="6:8" ht="18">
      <c r="F30" s="91">
        <v>0.2</v>
      </c>
      <c r="G30" s="91">
        <v>0.2</v>
      </c>
      <c r="H30" s="91">
        <v>0.4</v>
      </c>
    </row>
    <row r="31" spans="6:8" ht="18">
      <c r="F31" s="92">
        <v>0.21</v>
      </c>
      <c r="G31" s="92">
        <v>0.25</v>
      </c>
      <c r="H31" s="92">
        <v>0.48</v>
      </c>
    </row>
    <row r="32" spans="6:8" ht="18">
      <c r="F32" s="92">
        <v>0.22</v>
      </c>
      <c r="G32" s="92">
        <v>0.25</v>
      </c>
      <c r="H32" s="92">
        <v>0.48</v>
      </c>
    </row>
    <row r="33" spans="6:8" ht="18">
      <c r="F33" s="91">
        <v>0.23</v>
      </c>
      <c r="G33" s="92">
        <v>0.25</v>
      </c>
      <c r="H33" s="92">
        <v>0.48</v>
      </c>
    </row>
    <row r="34" spans="6:8" ht="18">
      <c r="F34" s="91">
        <v>0.24</v>
      </c>
      <c r="G34" s="92">
        <v>0.25</v>
      </c>
      <c r="H34" s="92">
        <v>0.48</v>
      </c>
    </row>
    <row r="35" spans="6:8" ht="18">
      <c r="F35" s="91">
        <v>0.25</v>
      </c>
      <c r="G35" s="92">
        <v>0.25</v>
      </c>
      <c r="H35" s="92">
        <v>0.48</v>
      </c>
    </row>
    <row r="36" spans="6:8" ht="18">
      <c r="F36" s="92">
        <v>0.26</v>
      </c>
      <c r="G36" s="92">
        <v>0.3</v>
      </c>
      <c r="H36" s="92">
        <v>0.55</v>
      </c>
    </row>
    <row r="37" spans="6:8" ht="18">
      <c r="F37" s="92">
        <v>0.27</v>
      </c>
      <c r="G37" s="92">
        <v>0.3</v>
      </c>
      <c r="H37" s="92">
        <v>0.55</v>
      </c>
    </row>
    <row r="38" spans="6:8" ht="18">
      <c r="F38" s="91">
        <v>0.28</v>
      </c>
      <c r="G38" s="92">
        <v>0.3</v>
      </c>
      <c r="H38" s="92">
        <v>0.55</v>
      </c>
    </row>
    <row r="39" spans="6:8" ht="18">
      <c r="F39" s="91">
        <v>0.29</v>
      </c>
      <c r="G39" s="92">
        <v>0.3</v>
      </c>
      <c r="H39" s="92">
        <v>0.55</v>
      </c>
    </row>
    <row r="40" spans="6:8" ht="18">
      <c r="F40" s="91">
        <v>0.3</v>
      </c>
      <c r="G40" s="92">
        <v>0.3</v>
      </c>
      <c r="H40" s="92">
        <v>0.55</v>
      </c>
    </row>
    <row r="41" spans="6:8" ht="18">
      <c r="F41" s="92">
        <v>0.31</v>
      </c>
      <c r="G41" s="92">
        <v>0.35</v>
      </c>
      <c r="H41" s="92">
        <v>0.62</v>
      </c>
    </row>
    <row r="42" spans="6:8" ht="18">
      <c r="F42" s="92">
        <v>0.32</v>
      </c>
      <c r="G42" s="92">
        <v>0.35</v>
      </c>
      <c r="H42" s="92">
        <v>0.62</v>
      </c>
    </row>
    <row r="43" spans="6:8" ht="18">
      <c r="F43" s="91">
        <v>0.33</v>
      </c>
      <c r="G43" s="92">
        <v>0.35</v>
      </c>
      <c r="H43" s="92">
        <v>0.62</v>
      </c>
    </row>
    <row r="44" spans="6:8" ht="18">
      <c r="F44" s="91">
        <v>0.34</v>
      </c>
      <c r="G44" s="92">
        <v>0.35</v>
      </c>
      <c r="H44" s="92">
        <v>0.62</v>
      </c>
    </row>
    <row r="45" spans="6:8" ht="18">
      <c r="F45" s="91">
        <v>0.35</v>
      </c>
      <c r="G45" s="92">
        <v>0.35</v>
      </c>
      <c r="H45" s="92">
        <v>0.62</v>
      </c>
    </row>
    <row r="46" spans="6:8" ht="18">
      <c r="F46" s="92">
        <v>0.36</v>
      </c>
      <c r="G46" s="92">
        <v>0.4</v>
      </c>
      <c r="H46" s="92">
        <v>0.67</v>
      </c>
    </row>
    <row r="47" spans="6:8" ht="18">
      <c r="F47" s="92">
        <v>0.37</v>
      </c>
      <c r="G47" s="92">
        <v>0.4</v>
      </c>
      <c r="H47" s="92">
        <v>0.67</v>
      </c>
    </row>
    <row r="48" spans="6:8" ht="18">
      <c r="F48" s="91">
        <v>0.38</v>
      </c>
      <c r="G48" s="92">
        <v>0.4</v>
      </c>
      <c r="H48" s="92">
        <v>0.67</v>
      </c>
    </row>
    <row r="49" spans="6:8" ht="18">
      <c r="F49" s="91">
        <v>0.39</v>
      </c>
      <c r="G49" s="92">
        <v>0.4</v>
      </c>
      <c r="H49" s="92">
        <v>0.67</v>
      </c>
    </row>
    <row r="50" spans="6:8" ht="18">
      <c r="F50" s="91">
        <v>0.4</v>
      </c>
      <c r="G50" s="92">
        <v>0.4</v>
      </c>
      <c r="H50" s="92">
        <v>0.67</v>
      </c>
    </row>
    <row r="51" spans="6:8" ht="18">
      <c r="F51" s="92">
        <v>0.41</v>
      </c>
      <c r="G51" s="92">
        <v>0.45</v>
      </c>
      <c r="H51" s="92">
        <v>0.72</v>
      </c>
    </row>
    <row r="52" spans="6:8" ht="18">
      <c r="F52" s="92">
        <v>0.42</v>
      </c>
      <c r="G52" s="92">
        <v>0.45</v>
      </c>
      <c r="H52" s="92">
        <v>0.72</v>
      </c>
    </row>
    <row r="53" spans="6:8" ht="18">
      <c r="F53" s="91">
        <v>0.43</v>
      </c>
      <c r="G53" s="92">
        <v>0.45</v>
      </c>
      <c r="H53" s="92">
        <v>0.72</v>
      </c>
    </row>
    <row r="54" spans="6:8" ht="18">
      <c r="F54" s="91">
        <v>0.44</v>
      </c>
      <c r="G54" s="92">
        <v>0.45</v>
      </c>
      <c r="H54" s="92">
        <v>0.72</v>
      </c>
    </row>
    <row r="55" spans="6:8" ht="18">
      <c r="F55" s="91">
        <v>0.45</v>
      </c>
      <c r="G55" s="92">
        <v>0.45</v>
      </c>
      <c r="H55" s="92">
        <v>0.72</v>
      </c>
    </row>
    <row r="56" spans="6:8" ht="18">
      <c r="F56" s="92">
        <v>0.46</v>
      </c>
      <c r="G56" s="92">
        <v>0.5</v>
      </c>
      <c r="H56" s="92">
        <v>0.75</v>
      </c>
    </row>
    <row r="57" spans="6:8" ht="18">
      <c r="F57" s="92">
        <v>0.47</v>
      </c>
      <c r="G57" s="92">
        <v>0.5</v>
      </c>
      <c r="H57" s="92">
        <v>0.75</v>
      </c>
    </row>
    <row r="58" spans="6:8" ht="18">
      <c r="F58" s="91">
        <v>0.48</v>
      </c>
      <c r="G58" s="92">
        <v>0.5</v>
      </c>
      <c r="H58" s="92">
        <v>0.75</v>
      </c>
    </row>
    <row r="59" spans="6:8" ht="18">
      <c r="F59" s="91">
        <v>0.49</v>
      </c>
      <c r="G59" s="92">
        <v>0.5</v>
      </c>
      <c r="H59" s="92">
        <v>0.75</v>
      </c>
    </row>
    <row r="60" spans="6:8" ht="18">
      <c r="F60" s="91">
        <v>0.5</v>
      </c>
      <c r="G60" s="92">
        <v>0.5</v>
      </c>
      <c r="H60" s="92">
        <v>0.75</v>
      </c>
    </row>
    <row r="61" spans="6:8" ht="18">
      <c r="F61" s="92">
        <v>0.51</v>
      </c>
      <c r="G61" s="92">
        <v>0.5</v>
      </c>
      <c r="H61" s="92">
        <v>0.75</v>
      </c>
    </row>
    <row r="62" spans="6:8" ht="18">
      <c r="F62" s="92">
        <v>0.52</v>
      </c>
      <c r="G62" s="92">
        <v>0.5</v>
      </c>
      <c r="H62" s="92">
        <v>0.75</v>
      </c>
    </row>
    <row r="63" spans="6:8" ht="18">
      <c r="F63" s="91">
        <v>0.53</v>
      </c>
      <c r="G63" s="92">
        <v>0.5</v>
      </c>
      <c r="H63" s="92">
        <v>0.75</v>
      </c>
    </row>
    <row r="64" spans="6:8" ht="18">
      <c r="F64" s="91">
        <v>0.54</v>
      </c>
      <c r="G64" s="92">
        <v>0.5</v>
      </c>
      <c r="H64" s="92">
        <v>0.75</v>
      </c>
    </row>
    <row r="65" spans="6:8" ht="18">
      <c r="F65" s="91">
        <v>0.55</v>
      </c>
      <c r="G65" s="92">
        <v>0.5</v>
      </c>
      <c r="H65" s="92">
        <v>0.75</v>
      </c>
    </row>
    <row r="66" spans="6:8" ht="18">
      <c r="F66" s="92">
        <v>0.56</v>
      </c>
      <c r="G66" s="92">
        <v>0.5</v>
      </c>
      <c r="H66" s="92">
        <v>0.75</v>
      </c>
    </row>
    <row r="67" spans="6:8" ht="18">
      <c r="F67" s="92">
        <v>0.57</v>
      </c>
      <c r="G67" s="92">
        <v>0.5</v>
      </c>
      <c r="H67" s="92">
        <v>0.75</v>
      </c>
    </row>
    <row r="68" spans="6:8" ht="18">
      <c r="F68" s="91">
        <v>0.58</v>
      </c>
      <c r="G68" s="92">
        <v>0.5</v>
      </c>
      <c r="H68" s="92">
        <v>0.75</v>
      </c>
    </row>
    <row r="69" spans="6:8" ht="18">
      <c r="F69" s="91">
        <v>0.59</v>
      </c>
      <c r="G69" s="92">
        <v>0.5</v>
      </c>
      <c r="H69" s="92">
        <v>0.75</v>
      </c>
    </row>
    <row r="70" spans="6:8" ht="18">
      <c r="F70" s="91">
        <v>0.6</v>
      </c>
      <c r="G70" s="92">
        <v>0.5</v>
      </c>
      <c r="H70" s="92">
        <v>0.75</v>
      </c>
    </row>
    <row r="71" spans="6:8" ht="18">
      <c r="F71" s="92">
        <v>0.61</v>
      </c>
      <c r="G71" s="92">
        <v>0.5</v>
      </c>
      <c r="H71" s="92">
        <v>0.75</v>
      </c>
    </row>
    <row r="72" spans="6:8" ht="18">
      <c r="F72" s="92">
        <v>0.62</v>
      </c>
      <c r="G72" s="92">
        <v>0.5</v>
      </c>
      <c r="H72" s="92">
        <v>0.75</v>
      </c>
    </row>
    <row r="73" spans="6:8" ht="18">
      <c r="F73" s="91">
        <v>0.63</v>
      </c>
      <c r="G73" s="92">
        <v>0.5</v>
      </c>
      <c r="H73" s="92">
        <v>0.75</v>
      </c>
    </row>
    <row r="74" spans="6:8" ht="18">
      <c r="F74" s="91">
        <v>0.64</v>
      </c>
      <c r="G74" s="92">
        <v>0.5</v>
      </c>
      <c r="H74" s="92">
        <v>0.75</v>
      </c>
    </row>
    <row r="75" spans="6:8" ht="18">
      <c r="F75" s="91">
        <v>0.65</v>
      </c>
      <c r="G75" s="92">
        <v>0.5</v>
      </c>
      <c r="H75" s="92">
        <v>0.75</v>
      </c>
    </row>
    <row r="76" spans="6:8" ht="18">
      <c r="F76" s="92">
        <v>0.66</v>
      </c>
      <c r="G76" s="92">
        <v>0.5</v>
      </c>
      <c r="H76" s="92">
        <v>0.75</v>
      </c>
    </row>
    <row r="77" spans="6:8" ht="18">
      <c r="F77" s="92">
        <v>0.67</v>
      </c>
      <c r="G77" s="92">
        <v>0.5</v>
      </c>
      <c r="H77" s="92">
        <v>0.75</v>
      </c>
    </row>
    <row r="78" spans="6:8" ht="18">
      <c r="F78" s="91">
        <v>0.68</v>
      </c>
      <c r="G78" s="92">
        <v>0.5</v>
      </c>
      <c r="H78" s="92">
        <v>0.75</v>
      </c>
    </row>
    <row r="79" spans="6:8" ht="18">
      <c r="F79" s="91">
        <v>0.69</v>
      </c>
      <c r="G79" s="92">
        <v>0.5</v>
      </c>
      <c r="H79" s="92">
        <v>0.75</v>
      </c>
    </row>
    <row r="80" spans="6:8" ht="18">
      <c r="F80" s="91">
        <v>0.7</v>
      </c>
      <c r="G80" s="92">
        <v>0.5</v>
      </c>
      <c r="H80" s="92">
        <v>0.75</v>
      </c>
    </row>
    <row r="81" spans="6:8" ht="18">
      <c r="F81" s="92">
        <v>0.71</v>
      </c>
      <c r="G81" s="92">
        <v>0.5</v>
      </c>
      <c r="H81" s="92">
        <v>0.75</v>
      </c>
    </row>
    <row r="82" spans="6:8" ht="18">
      <c r="F82" s="92">
        <v>0.72</v>
      </c>
      <c r="G82" s="92">
        <v>0.5</v>
      </c>
      <c r="H82" s="92">
        <v>0.75</v>
      </c>
    </row>
    <row r="83" spans="6:8" ht="18">
      <c r="F83" s="91">
        <v>0.73</v>
      </c>
      <c r="G83" s="92">
        <v>0.5</v>
      </c>
      <c r="H83" s="92">
        <v>0.75</v>
      </c>
    </row>
    <row r="84" spans="6:8" ht="18">
      <c r="F84" s="91">
        <v>0.74</v>
      </c>
      <c r="G84" s="92">
        <v>0.5</v>
      </c>
      <c r="H84" s="92">
        <v>0.75</v>
      </c>
    </row>
    <row r="85" spans="6:8" ht="18">
      <c r="F85" s="91">
        <v>0.75</v>
      </c>
      <c r="G85" s="92">
        <v>0.5</v>
      </c>
      <c r="H85" s="92">
        <v>0.75</v>
      </c>
    </row>
    <row r="86" spans="6:8" ht="18">
      <c r="F86" s="92">
        <v>0.76</v>
      </c>
      <c r="G86" s="92">
        <v>0.5</v>
      </c>
      <c r="H86" s="92">
        <v>0.75</v>
      </c>
    </row>
    <row r="87" spans="6:8" ht="18">
      <c r="F87" s="92">
        <v>0.77</v>
      </c>
      <c r="G87" s="92">
        <v>0.5</v>
      </c>
      <c r="H87" s="92">
        <v>0.75</v>
      </c>
    </row>
    <row r="88" spans="6:8" ht="18">
      <c r="F88" s="91">
        <v>0.78</v>
      </c>
      <c r="G88" s="92">
        <v>0.5</v>
      </c>
      <c r="H88" s="92">
        <v>0.75</v>
      </c>
    </row>
    <row r="89" spans="6:8" ht="18">
      <c r="F89" s="91">
        <v>0.79</v>
      </c>
      <c r="G89" s="92">
        <v>0.5</v>
      </c>
      <c r="H89" s="92">
        <v>0.75</v>
      </c>
    </row>
    <row r="90" spans="6:8" ht="18">
      <c r="F90" s="91">
        <v>0.8</v>
      </c>
      <c r="G90" s="92">
        <v>0.5</v>
      </c>
      <c r="H90" s="92">
        <v>0.75</v>
      </c>
    </row>
    <row r="91" spans="6:8" ht="18">
      <c r="F91" s="92">
        <v>0.81</v>
      </c>
      <c r="G91" s="92">
        <v>0.5</v>
      </c>
      <c r="H91" s="92">
        <v>0.75</v>
      </c>
    </row>
    <row r="92" spans="6:8" ht="18">
      <c r="F92" s="92">
        <v>0.82</v>
      </c>
      <c r="G92" s="92">
        <v>0.5</v>
      </c>
      <c r="H92" s="92">
        <v>0.75</v>
      </c>
    </row>
    <row r="93" spans="6:8" ht="18">
      <c r="F93" s="91">
        <v>0.83</v>
      </c>
      <c r="G93" s="92">
        <v>0.5</v>
      </c>
      <c r="H93" s="92">
        <v>0.75</v>
      </c>
    </row>
    <row r="94" spans="6:8" ht="18">
      <c r="F94" s="91">
        <v>0.84</v>
      </c>
      <c r="G94" s="92">
        <v>0.5</v>
      </c>
      <c r="H94" s="92">
        <v>0.75</v>
      </c>
    </row>
    <row r="95" spans="6:8" ht="18">
      <c r="F95" s="91">
        <v>0.85</v>
      </c>
      <c r="G95" s="92">
        <v>0.5</v>
      </c>
      <c r="H95" s="92">
        <v>0.75</v>
      </c>
    </row>
    <row r="96" spans="6:8" ht="18">
      <c r="F96" s="92">
        <v>0.86</v>
      </c>
      <c r="G96" s="92">
        <v>0.5</v>
      </c>
      <c r="H96" s="92">
        <v>0.75</v>
      </c>
    </row>
    <row r="97" spans="6:8" ht="18">
      <c r="F97" s="92">
        <v>0.87</v>
      </c>
      <c r="G97" s="92">
        <v>0.5</v>
      </c>
      <c r="H97" s="92">
        <v>0.75</v>
      </c>
    </row>
    <row r="98" spans="6:8" ht="18">
      <c r="F98" s="91">
        <v>0.88</v>
      </c>
      <c r="G98" s="92">
        <v>0.5</v>
      </c>
      <c r="H98" s="92">
        <v>0.75</v>
      </c>
    </row>
    <row r="99" spans="6:8" ht="18">
      <c r="F99" s="91">
        <v>0.89</v>
      </c>
      <c r="G99" s="92">
        <v>0.5</v>
      </c>
      <c r="H99" s="92">
        <v>0.75</v>
      </c>
    </row>
    <row r="100" spans="6:8" ht="18">
      <c r="F100" s="91">
        <v>0.9</v>
      </c>
      <c r="G100" s="92">
        <v>0.5</v>
      </c>
      <c r="H100" s="92">
        <v>0.75</v>
      </c>
    </row>
    <row r="101" spans="6:8" ht="18">
      <c r="F101" s="92">
        <v>0.91</v>
      </c>
      <c r="G101" s="92">
        <v>0.5</v>
      </c>
      <c r="H101" s="92">
        <v>0.75</v>
      </c>
    </row>
    <row r="102" spans="6:8" ht="18">
      <c r="F102" s="92">
        <v>0.92</v>
      </c>
      <c r="G102" s="92">
        <v>0.5</v>
      </c>
      <c r="H102" s="92">
        <v>0.75</v>
      </c>
    </row>
    <row r="103" spans="6:8" ht="18">
      <c r="F103" s="91">
        <v>0.93</v>
      </c>
      <c r="G103" s="92">
        <v>0.5</v>
      </c>
      <c r="H103" s="92">
        <v>0.75</v>
      </c>
    </row>
    <row r="104" spans="6:8" ht="18">
      <c r="F104" s="91">
        <v>0.94</v>
      </c>
      <c r="G104" s="92">
        <v>0.5</v>
      </c>
      <c r="H104" s="92">
        <v>0.75</v>
      </c>
    </row>
    <row r="105" spans="6:8" ht="18">
      <c r="F105" s="91">
        <v>0.95</v>
      </c>
      <c r="G105" s="92">
        <v>0.5</v>
      </c>
      <c r="H105" s="92">
        <v>0.75</v>
      </c>
    </row>
    <row r="106" spans="6:8" ht="18">
      <c r="F106" s="92">
        <v>0.96</v>
      </c>
      <c r="G106" s="92">
        <v>0.5</v>
      </c>
      <c r="H106" s="92">
        <v>0.75</v>
      </c>
    </row>
    <row r="107" spans="6:8" ht="18">
      <c r="F107" s="92">
        <v>0.97</v>
      </c>
      <c r="G107" s="92">
        <v>0.5</v>
      </c>
      <c r="H107" s="92">
        <v>0.75</v>
      </c>
    </row>
    <row r="108" spans="6:8" ht="18">
      <c r="F108" s="91">
        <v>0.98</v>
      </c>
      <c r="G108" s="92">
        <v>0.5</v>
      </c>
      <c r="H108" s="92">
        <v>0.75</v>
      </c>
    </row>
    <row r="109" spans="6:8" ht="18">
      <c r="F109" s="91">
        <v>0.99</v>
      </c>
      <c r="G109" s="92">
        <v>0.5</v>
      </c>
      <c r="H109" s="92">
        <v>0.75</v>
      </c>
    </row>
    <row r="110" spans="6:8" ht="18">
      <c r="F110" s="91">
        <v>1</v>
      </c>
      <c r="G110" s="92">
        <v>0.5</v>
      </c>
      <c r="H110" s="92">
        <v>0.75</v>
      </c>
    </row>
  </sheetData>
  <sheetProtection/>
  <mergeCells count="2">
    <mergeCell ref="D7:D8"/>
    <mergeCell ref="B7:B8"/>
  </mergeCells>
  <conditionalFormatting sqref="D6">
    <cfRule type="expression" priority="1330" dxfId="0" stopIfTrue="1">
      <formula>$C$6&lt;$C$2</formula>
    </cfRule>
    <cfRule type="expression" priority="1331" dxfId="0" stopIfTrue="1">
      <formula>$C$6&gt;$C$3</formula>
    </cfRule>
  </conditionalFormatting>
  <printOptions/>
  <pageMargins left="0.7" right="0.7" top="0.75" bottom="0.75" header="0.3" footer="0.3"/>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sheetPr codeName="Sheet7"/>
  <dimension ref="A1:E114"/>
  <sheetViews>
    <sheetView showGridLine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12.75"/>
  <cols>
    <col min="1" max="1" width="14.00390625" style="0" bestFit="1" customWidth="1"/>
    <col min="2" max="2" width="26.8515625" style="0" bestFit="1" customWidth="1"/>
    <col min="3" max="3" width="7.28125" style="0" bestFit="1" customWidth="1"/>
    <col min="4" max="4" width="15.7109375" style="0" customWidth="1"/>
    <col min="5" max="5" width="72.421875" style="0" bestFit="1" customWidth="1"/>
  </cols>
  <sheetData>
    <row r="1" spans="1:5" s="55" customFormat="1" ht="12.75">
      <c r="A1" s="54" t="s">
        <v>27</v>
      </c>
      <c r="B1" s="54" t="s">
        <v>28</v>
      </c>
      <c r="C1" s="54" t="s">
        <v>46</v>
      </c>
      <c r="D1" s="54" t="s">
        <v>45</v>
      </c>
      <c r="E1" s="54" t="s">
        <v>128</v>
      </c>
    </row>
    <row r="2" spans="3:5" ht="12.75">
      <c r="C2" s="47"/>
      <c r="E2" s="46"/>
    </row>
    <row r="3" spans="3:5" ht="12.75">
      <c r="C3" s="47"/>
      <c r="E3" s="46"/>
    </row>
    <row r="4" spans="3:5" ht="12.75">
      <c r="C4" s="47"/>
      <c r="E4" s="46"/>
    </row>
    <row r="5" spans="3:5" ht="12.75">
      <c r="C5" s="47"/>
      <c r="D5" s="46"/>
      <c r="E5" s="46"/>
    </row>
    <row r="6" spans="3:5" ht="12.75">
      <c r="C6" s="47"/>
      <c r="E6" s="46"/>
    </row>
    <row r="7" spans="3:5" ht="12.75">
      <c r="C7" s="47"/>
      <c r="E7" s="46"/>
    </row>
    <row r="8" spans="3:5" ht="12.75">
      <c r="C8" s="47"/>
      <c r="E8" s="46"/>
    </row>
    <row r="9" spans="3:5" ht="12.75">
      <c r="C9" s="47"/>
      <c r="E9" s="46"/>
    </row>
    <row r="10" spans="3:5" ht="12.75">
      <c r="C10" s="47"/>
      <c r="E10" s="46"/>
    </row>
    <row r="11" spans="3:5" ht="12.75">
      <c r="C11" s="47"/>
      <c r="E11" s="46"/>
    </row>
    <row r="12" spans="3:5" ht="12.75">
      <c r="C12" s="47"/>
      <c r="E12" s="46"/>
    </row>
    <row r="13" spans="3:5" ht="12.75">
      <c r="C13" s="47"/>
      <c r="E13" s="46"/>
    </row>
    <row r="14" spans="3:5" ht="12.75">
      <c r="C14" s="47"/>
      <c r="E14" s="46"/>
    </row>
    <row r="15" spans="3:5" ht="12.75">
      <c r="C15" s="47"/>
      <c r="E15" s="46"/>
    </row>
    <row r="16" spans="3:5" ht="12.75">
      <c r="C16" s="47"/>
      <c r="E16" s="46"/>
    </row>
    <row r="17" spans="3:5" ht="12.75">
      <c r="C17" s="47"/>
      <c r="E17" s="46"/>
    </row>
    <row r="18" spans="3:5" ht="12.75">
      <c r="C18" s="47"/>
      <c r="E18" s="46"/>
    </row>
    <row r="19" spans="3:5" ht="12.75">
      <c r="C19" s="47"/>
      <c r="E19" s="46"/>
    </row>
    <row r="20" spans="3:5" ht="12.75">
      <c r="C20" s="47"/>
      <c r="E20" s="46"/>
    </row>
    <row r="21" spans="3:5" ht="12.75">
      <c r="C21" s="47"/>
      <c r="E21" s="46"/>
    </row>
    <row r="22" spans="3:5" ht="12.75">
      <c r="C22" s="47"/>
      <c r="E22" s="46"/>
    </row>
    <row r="23" spans="3:5" ht="12.75">
      <c r="C23" s="47"/>
      <c r="E23" s="46"/>
    </row>
    <row r="24" spans="3:5" ht="12.75">
      <c r="C24" s="47"/>
      <c r="E24" s="46"/>
    </row>
    <row r="25" spans="3:5" ht="12.75">
      <c r="C25" s="47"/>
      <c r="E25" s="46"/>
    </row>
    <row r="26" spans="3:5" ht="12.75">
      <c r="C26" s="47"/>
      <c r="E26" s="46"/>
    </row>
    <row r="27" spans="3:5" ht="12.75">
      <c r="C27" s="47"/>
      <c r="E27" s="46"/>
    </row>
    <row r="28" spans="3:5" ht="12.75">
      <c r="C28" s="47"/>
      <c r="E28" s="46"/>
    </row>
    <row r="29" spans="3:5" ht="12.75">
      <c r="C29" s="47"/>
      <c r="E29" s="46"/>
    </row>
    <row r="30" spans="3:5" ht="12.75">
      <c r="C30" s="47"/>
      <c r="E30" s="46"/>
    </row>
    <row r="31" spans="3:5" ht="12.75">
      <c r="C31" s="47"/>
      <c r="E31" s="46"/>
    </row>
    <row r="32" spans="3:5" ht="12.75">
      <c r="C32" s="47"/>
      <c r="E32" s="46"/>
    </row>
    <row r="33" spans="3:5" ht="12.75">
      <c r="C33" s="47"/>
      <c r="E33" s="46"/>
    </row>
    <row r="34" spans="3:5" ht="12.75">
      <c r="C34" s="47"/>
      <c r="E34" s="46"/>
    </row>
    <row r="35" spans="3:5" ht="12.75">
      <c r="C35" s="47"/>
      <c r="E35" s="46"/>
    </row>
    <row r="36" spans="3:5" ht="12.75">
      <c r="C36" s="47"/>
      <c r="E36" s="46"/>
    </row>
    <row r="37" spans="3:5" ht="12.75">
      <c r="C37" s="47"/>
      <c r="D37" s="46"/>
      <c r="E37" s="46"/>
    </row>
    <row r="38" spans="3:5" ht="12.75">
      <c r="C38" s="47"/>
      <c r="E38" s="46"/>
    </row>
    <row r="39" spans="3:5" ht="12.75">
      <c r="C39" s="47"/>
      <c r="E39" s="46"/>
    </row>
    <row r="40" spans="2:5" ht="12.75">
      <c r="B40" s="46"/>
      <c r="C40" s="47"/>
      <c r="E40" s="46"/>
    </row>
    <row r="41" spans="3:5" ht="12.75">
      <c r="C41" s="47"/>
      <c r="E41" s="46"/>
    </row>
    <row r="42" spans="3:5" ht="12.75">
      <c r="C42" s="47"/>
      <c r="E42" s="46"/>
    </row>
    <row r="43" spans="3:5" ht="12.75">
      <c r="C43" s="47"/>
      <c r="E43" s="46"/>
    </row>
    <row r="44" spans="3:5" ht="12.75">
      <c r="C44" s="47"/>
      <c r="E44" s="46"/>
    </row>
    <row r="45" spans="3:5" ht="12.75">
      <c r="C45" s="47"/>
      <c r="E45" s="46"/>
    </row>
    <row r="46" spans="3:5" ht="12.75">
      <c r="C46" s="47"/>
      <c r="E46" s="46"/>
    </row>
    <row r="47" spans="3:5" ht="12.75">
      <c r="C47" s="47"/>
      <c r="E47" s="46"/>
    </row>
    <row r="48" spans="3:5" ht="12.75">
      <c r="C48" s="47"/>
      <c r="E48" s="46"/>
    </row>
    <row r="49" spans="3:5" ht="12.75">
      <c r="C49" s="47"/>
      <c r="E49" s="46"/>
    </row>
    <row r="50" spans="3:5" ht="12.75">
      <c r="C50" s="47"/>
      <c r="E50" s="46"/>
    </row>
    <row r="51" spans="3:5" ht="12.75">
      <c r="C51" s="47"/>
      <c r="E51" s="46"/>
    </row>
    <row r="52" spans="3:5" ht="12.75">
      <c r="C52" s="47"/>
      <c r="E52" s="46"/>
    </row>
    <row r="53" spans="3:5" ht="12.75">
      <c r="C53" s="47"/>
      <c r="E53" s="46"/>
    </row>
    <row r="54" spans="3:5" ht="12.75">
      <c r="C54" s="47"/>
      <c r="E54" s="46"/>
    </row>
    <row r="55" spans="3:5" ht="12.75">
      <c r="C55" s="47"/>
      <c r="E55" s="46"/>
    </row>
    <row r="56" spans="3:5" ht="12.75">
      <c r="C56" s="47"/>
      <c r="E56" s="46"/>
    </row>
    <row r="57" spans="3:5" ht="12.75">
      <c r="C57" s="47"/>
      <c r="E57" s="46"/>
    </row>
    <row r="58" spans="3:5" ht="12.75">
      <c r="C58" s="47"/>
      <c r="E58" s="46"/>
    </row>
    <row r="59" spans="3:5" ht="12.75">
      <c r="C59" s="47"/>
      <c r="E59" s="46"/>
    </row>
    <row r="60" spans="3:5" ht="12.75">
      <c r="C60" s="47"/>
      <c r="E60" s="46"/>
    </row>
    <row r="61" spans="3:5" ht="12.75">
      <c r="C61" s="47"/>
      <c r="E61" s="46"/>
    </row>
    <row r="62" spans="3:5" ht="12.75">
      <c r="C62" s="47"/>
      <c r="E62" s="46"/>
    </row>
    <row r="63" spans="3:5" ht="12.75">
      <c r="C63" s="47"/>
      <c r="E63" s="46"/>
    </row>
    <row r="64" spans="3:5" ht="12.75">
      <c r="C64" s="47"/>
      <c r="E64" s="46"/>
    </row>
    <row r="65" spans="3:5" ht="12.75">
      <c r="C65" s="47"/>
      <c r="E65" s="46"/>
    </row>
    <row r="66" spans="3:5" ht="12.75">
      <c r="C66" s="47"/>
      <c r="E66" s="46"/>
    </row>
    <row r="67" spans="3:5" ht="12.75">
      <c r="C67" s="47"/>
      <c r="E67" s="46"/>
    </row>
    <row r="68" spans="3:5" ht="12.75">
      <c r="C68" s="47"/>
      <c r="E68" s="46"/>
    </row>
    <row r="69" spans="3:5" ht="12.75">
      <c r="C69" s="47"/>
      <c r="D69" s="46"/>
      <c r="E69" s="46"/>
    </row>
    <row r="70" spans="3:5" ht="12.75">
      <c r="C70" s="47"/>
      <c r="E70" s="46"/>
    </row>
    <row r="71" spans="3:5" ht="12.75">
      <c r="C71" s="47"/>
      <c r="E71" s="46"/>
    </row>
    <row r="72" spans="3:5" ht="12.75">
      <c r="C72" s="47"/>
      <c r="E72" s="46"/>
    </row>
    <row r="73" spans="3:5" ht="12.75">
      <c r="C73" s="47"/>
      <c r="E73" s="46"/>
    </row>
    <row r="74" spans="3:5" ht="12.75">
      <c r="C74" s="47"/>
      <c r="E74" s="46"/>
    </row>
    <row r="75" spans="3:5" ht="12.75">
      <c r="C75" s="47"/>
      <c r="E75" s="46"/>
    </row>
    <row r="76" spans="3:5" ht="12.75">
      <c r="C76" s="47"/>
      <c r="E76" s="46"/>
    </row>
    <row r="77" spans="3:5" ht="12.75">
      <c r="C77" s="47"/>
      <c r="E77" s="46"/>
    </row>
    <row r="78" spans="3:5" ht="12.75">
      <c r="C78" s="47"/>
      <c r="E78" s="46"/>
    </row>
    <row r="79" spans="3:5" ht="12.75">
      <c r="C79" s="47"/>
      <c r="E79" s="46"/>
    </row>
    <row r="80" spans="3:5" ht="12.75">
      <c r="C80" s="47"/>
      <c r="E80" s="46"/>
    </row>
    <row r="81" spans="3:5" ht="12.75">
      <c r="C81" s="47"/>
      <c r="E81" s="46"/>
    </row>
    <row r="82" spans="3:5" ht="12.75">
      <c r="C82" s="47"/>
      <c r="E82" s="46"/>
    </row>
    <row r="83" spans="3:5" ht="12.75">
      <c r="C83" s="47"/>
      <c r="E83" s="46"/>
    </row>
    <row r="84" spans="3:5" ht="12.75">
      <c r="C84" s="47"/>
      <c r="E84" s="46"/>
    </row>
    <row r="85" spans="3:5" ht="12.75">
      <c r="C85" s="47"/>
      <c r="E85" s="46"/>
    </row>
    <row r="86" spans="3:5" ht="12.75">
      <c r="C86" s="47"/>
      <c r="E86" s="46"/>
    </row>
    <row r="87" spans="3:5" ht="12.75">
      <c r="C87" s="47"/>
      <c r="E87" s="46"/>
    </row>
    <row r="88" spans="3:5" ht="12.75">
      <c r="C88" s="47"/>
      <c r="E88" s="46"/>
    </row>
    <row r="89" spans="3:5" ht="12.75">
      <c r="C89" s="47"/>
      <c r="E89" s="46"/>
    </row>
    <row r="90" spans="3:5" ht="12.75">
      <c r="C90" s="47"/>
      <c r="E90" s="46"/>
    </row>
    <row r="91" spans="3:5" ht="12.75">
      <c r="C91" s="47"/>
      <c r="E91" s="46"/>
    </row>
    <row r="92" spans="3:5" ht="12.75">
      <c r="C92" s="47"/>
      <c r="E92" s="46"/>
    </row>
    <row r="93" spans="3:5" ht="12.75">
      <c r="C93" s="47"/>
      <c r="E93" s="46"/>
    </row>
    <row r="94" spans="3:5" ht="12.75">
      <c r="C94" s="47"/>
      <c r="E94" s="46"/>
    </row>
    <row r="95" spans="3:5" ht="12.75">
      <c r="C95" s="47"/>
      <c r="E95" s="46"/>
    </row>
    <row r="96" spans="3:5" ht="12.75">
      <c r="C96" s="47"/>
      <c r="E96" s="46"/>
    </row>
    <row r="97" spans="3:5" ht="12.75">
      <c r="C97" s="47"/>
      <c r="E97" s="46"/>
    </row>
    <row r="98" spans="3:5" ht="12.75">
      <c r="C98" s="47"/>
      <c r="E98" s="46"/>
    </row>
    <row r="99" spans="3:5" ht="12.75">
      <c r="C99" s="47"/>
      <c r="E99" s="46"/>
    </row>
    <row r="100" spans="3:5" ht="12.75">
      <c r="C100" s="47"/>
      <c r="E100" s="46"/>
    </row>
    <row r="101" spans="3:5" ht="12.75">
      <c r="C101" s="47"/>
      <c r="D101" s="46"/>
      <c r="E101" s="46"/>
    </row>
    <row r="102" spans="3:5" ht="12.75">
      <c r="C102" s="47"/>
      <c r="E102" s="46"/>
    </row>
    <row r="103" spans="3:5" ht="12.75">
      <c r="C103" s="47"/>
      <c r="E103" s="46"/>
    </row>
    <row r="104" spans="3:5" ht="12.75">
      <c r="C104" s="47"/>
      <c r="E104" s="46"/>
    </row>
    <row r="105" spans="3:5" ht="12.75">
      <c r="C105" s="47"/>
      <c r="E105" s="46"/>
    </row>
    <row r="106" spans="3:5" ht="12.75">
      <c r="C106" s="47"/>
      <c r="E106" s="46"/>
    </row>
    <row r="107" spans="3:5" ht="12.75">
      <c r="C107" s="47"/>
      <c r="E107" s="46"/>
    </row>
    <row r="108" spans="3:5" ht="12.75">
      <c r="C108" s="47"/>
      <c r="E108" s="46"/>
    </row>
    <row r="109" spans="3:5" ht="12.75">
      <c r="C109" s="47"/>
      <c r="E109" s="46"/>
    </row>
    <row r="110" spans="3:5" ht="12.75">
      <c r="C110" s="47"/>
      <c r="E110" s="46"/>
    </row>
    <row r="111" spans="3:5" ht="12.75">
      <c r="C111" s="47"/>
      <c r="E111" s="46"/>
    </row>
    <row r="112" spans="3:5" ht="12.75">
      <c r="C112" s="47"/>
      <c r="E112" s="46"/>
    </row>
    <row r="113" spans="3:5" ht="12.75">
      <c r="C113" s="47"/>
      <c r="E113" s="46"/>
    </row>
    <row r="114" spans="2:5" ht="12.75">
      <c r="B114" s="46"/>
      <c r="C114" s="47"/>
      <c r="E114" s="46"/>
    </row>
  </sheetData>
  <sheetProtection/>
  <autoFilter ref="A1:G114">
    <sortState ref="A2:G114">
      <sortCondition sortBy="value" ref="A2:A114"/>
    </sortState>
  </autoFilter>
  <printOptions/>
  <pageMargins left="0.7" right="0.7" top="0.75" bottom="0.75" header="0.3" footer="0.3"/>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B2:X198"/>
  <sheetViews>
    <sheetView showGridLines="0" showRowColHeaders="0" showZeros="0" zoomScale="109" zoomScaleNormal="109" zoomScalePageLayoutView="0" workbookViewId="0" topLeftCell="A1">
      <pane xSplit="4" ySplit="8" topLeftCell="F9" activePane="bottomRight" state="frozen"/>
      <selection pane="topLeft" activeCell="A1" sqref="A1"/>
      <selection pane="topRight" activeCell="E1" sqref="E1"/>
      <selection pane="bottomLeft" activeCell="A9" sqref="A9"/>
      <selection pane="bottomRight" activeCell="B9" sqref="B9"/>
    </sheetView>
  </sheetViews>
  <sheetFormatPr defaultColWidth="9.140625" defaultRowHeight="12.75"/>
  <cols>
    <col min="1" max="1" width="2.28125" style="1" customWidth="1"/>
    <col min="2" max="2" width="8.421875" style="1" customWidth="1"/>
    <col min="3" max="3" width="23.28125" style="1" customWidth="1"/>
    <col min="4" max="4" width="13.00390625" style="1" customWidth="1"/>
    <col min="5" max="5" width="14.140625" style="2" hidden="1" customWidth="1"/>
    <col min="6" max="8" width="7.8515625" style="2" bestFit="1" customWidth="1"/>
    <col min="9" max="9" width="8.421875" style="2" bestFit="1" customWidth="1"/>
    <col min="10" max="10" width="7.421875" style="2" bestFit="1" customWidth="1"/>
    <col min="11" max="11" width="9.7109375" style="2" customWidth="1"/>
    <col min="12" max="12" width="7.7109375" style="1" customWidth="1"/>
    <col min="13" max="13" width="8.28125" style="1" customWidth="1"/>
    <col min="14" max="14" width="10.7109375" style="1" customWidth="1"/>
    <col min="15" max="15" width="11.57421875" style="1" customWidth="1"/>
    <col min="16" max="16" width="12.00390625" style="1" customWidth="1"/>
    <col min="17" max="17" width="12.7109375" style="1" customWidth="1"/>
    <col min="18" max="18" width="12.7109375" style="1" hidden="1" customWidth="1"/>
    <col min="19" max="19" width="15.8515625" style="1" customWidth="1"/>
    <col min="20" max="20" width="8.421875" style="58" bestFit="1" customWidth="1"/>
    <col min="21" max="21" width="32.8515625" style="1" bestFit="1" customWidth="1"/>
    <col min="22" max="22" width="7.57421875" style="58" bestFit="1" customWidth="1"/>
    <col min="23" max="23" width="28.421875" style="1" customWidth="1"/>
    <col min="24" max="24" width="8.421875" style="1" hidden="1" customWidth="1"/>
    <col min="25" max="16384" width="9.140625" style="1" customWidth="1"/>
  </cols>
  <sheetData>
    <row r="2" spans="11:23" ht="23.25" customHeight="1">
      <c r="K2" s="100" t="s">
        <v>24</v>
      </c>
      <c r="L2" s="100"/>
      <c r="M2" s="86">
        <f>Setup!C7</f>
        <v>0.4</v>
      </c>
      <c r="T2" s="107" t="s">
        <v>445</v>
      </c>
      <c r="U2" s="104" t="s">
        <v>232</v>
      </c>
      <c r="W2" s="102" t="s">
        <v>231</v>
      </c>
    </row>
    <row r="3" spans="3:23" ht="12.75">
      <c r="C3" s="11"/>
      <c r="D3" s="11"/>
      <c r="E3" s="16"/>
      <c r="F3" s="16"/>
      <c r="G3" s="16"/>
      <c r="H3" s="16"/>
      <c r="I3" s="16"/>
      <c r="J3" s="16"/>
      <c r="K3" s="109" t="str">
        <f>"(Top "&amp;ROUNDUP(M2*COUNT(B9:B121),0)&amp;" of "&amp;COUNT(B9:B121)&amp;" teams)"</f>
        <v>(Top 0 of 0 teams)</v>
      </c>
      <c r="L3" s="110"/>
      <c r="M3" s="111"/>
      <c r="N3" s="14"/>
      <c r="O3" s="12"/>
      <c r="P3" s="12"/>
      <c r="Q3" s="18"/>
      <c r="R3" s="12"/>
      <c r="S3" s="12"/>
      <c r="T3" s="107"/>
      <c r="U3" s="105"/>
      <c r="V3" s="60"/>
      <c r="W3" s="102"/>
    </row>
    <row r="4" spans="3:23" ht="12.75">
      <c r="C4" s="11"/>
      <c r="D4" s="11"/>
      <c r="E4" s="16"/>
      <c r="F4" s="16"/>
      <c r="G4" s="16"/>
      <c r="H4" s="16"/>
      <c r="I4" s="16"/>
      <c r="J4" s="16"/>
      <c r="K4" s="16"/>
      <c r="L4" s="12"/>
      <c r="M4" s="18"/>
      <c r="N4" s="14"/>
      <c r="O4" s="12"/>
      <c r="P4" s="12"/>
      <c r="Q4" s="18"/>
      <c r="R4" s="12"/>
      <c r="S4" s="12"/>
      <c r="T4" s="107"/>
      <c r="U4" s="105"/>
      <c r="V4" s="60"/>
      <c r="W4" s="102"/>
    </row>
    <row r="5" spans="3:23" ht="12.75">
      <c r="C5" s="11"/>
      <c r="D5" s="11"/>
      <c r="E5" s="16"/>
      <c r="F5" s="16"/>
      <c r="G5" s="16"/>
      <c r="H5" s="16"/>
      <c r="I5" s="16"/>
      <c r="J5" s="16"/>
      <c r="K5" s="16"/>
      <c r="L5" s="12"/>
      <c r="M5" s="18"/>
      <c r="N5" s="14"/>
      <c r="O5" s="12"/>
      <c r="P5" s="12"/>
      <c r="Q5" s="18"/>
      <c r="R5" s="12"/>
      <c r="S5" s="12"/>
      <c r="T5" s="107"/>
      <c r="U5" s="105"/>
      <c r="V5" s="60"/>
      <c r="W5" s="102"/>
    </row>
    <row r="6" spans="3:23" ht="27.75" customHeight="1">
      <c r="C6" s="12"/>
      <c r="D6" s="12"/>
      <c r="E6" s="16"/>
      <c r="F6" s="16"/>
      <c r="G6" s="16"/>
      <c r="H6" s="16"/>
      <c r="I6" s="16"/>
      <c r="J6" s="16"/>
      <c r="K6" s="16"/>
      <c r="L6" s="12"/>
      <c r="M6" s="18"/>
      <c r="N6" s="15"/>
      <c r="O6" s="12"/>
      <c r="P6" s="12"/>
      <c r="Q6" s="18"/>
      <c r="R6" s="12"/>
      <c r="S6" s="12"/>
      <c r="T6" s="108"/>
      <c r="U6" s="105"/>
      <c r="V6" s="60"/>
      <c r="W6" s="102"/>
    </row>
    <row r="7" spans="3:23" ht="27" customHeight="1">
      <c r="C7" s="12"/>
      <c r="D7" s="12"/>
      <c r="E7" s="16"/>
      <c r="F7" s="16"/>
      <c r="G7" s="16"/>
      <c r="H7" s="16"/>
      <c r="I7" s="16"/>
      <c r="J7" s="16"/>
      <c r="K7" s="97" t="s">
        <v>10</v>
      </c>
      <c r="L7" s="98"/>
      <c r="M7" s="99"/>
      <c r="N7" s="97" t="s">
        <v>40</v>
      </c>
      <c r="O7" s="98"/>
      <c r="P7" s="99"/>
      <c r="Q7" s="97" t="s">
        <v>19</v>
      </c>
      <c r="R7" s="98"/>
      <c r="S7" s="99"/>
      <c r="T7" s="78">
        <f>COUNTA(T9:T121)/COUNTA(B9:B121)</f>
        <v>0</v>
      </c>
      <c r="U7" s="106"/>
      <c r="V7" s="60"/>
      <c r="W7" s="103"/>
    </row>
    <row r="8" spans="2:24" s="39" customFormat="1" ht="42.75" customHeight="1">
      <c r="B8" s="36" t="s">
        <v>0</v>
      </c>
      <c r="C8" s="36" t="s">
        <v>1</v>
      </c>
      <c r="D8" s="36" t="s">
        <v>43</v>
      </c>
      <c r="E8" s="35" t="s">
        <v>25</v>
      </c>
      <c r="F8" s="35" t="s">
        <v>7</v>
      </c>
      <c r="G8" s="35" t="s">
        <v>8</v>
      </c>
      <c r="H8" s="35" t="s">
        <v>9</v>
      </c>
      <c r="I8" s="35" t="s">
        <v>21</v>
      </c>
      <c r="J8" s="35" t="s">
        <v>22</v>
      </c>
      <c r="K8" s="35" t="s">
        <v>4</v>
      </c>
      <c r="L8" s="36" t="s">
        <v>23</v>
      </c>
      <c r="M8" s="35" t="s">
        <v>229</v>
      </c>
      <c r="N8" s="36" t="s">
        <v>2</v>
      </c>
      <c r="O8" s="36" t="s">
        <v>5</v>
      </c>
      <c r="P8" s="36" t="s">
        <v>6</v>
      </c>
      <c r="Q8" s="38" t="s">
        <v>13</v>
      </c>
      <c r="R8" s="49" t="s">
        <v>39</v>
      </c>
      <c r="S8" s="36" t="s">
        <v>26</v>
      </c>
      <c r="T8" s="56" t="s">
        <v>115</v>
      </c>
      <c r="U8" s="36" t="s">
        <v>117</v>
      </c>
      <c r="V8" s="56" t="s">
        <v>157</v>
      </c>
      <c r="W8" s="36" t="s">
        <v>163</v>
      </c>
      <c r="X8" s="37" t="s">
        <v>27</v>
      </c>
    </row>
    <row r="9" spans="2:24" ht="24.75" customHeight="1">
      <c r="B9" s="7">
        <f>_xlfn.IFERROR(IF(ISBLANK('Team Information Input'!A2),"",'Team Information Input'!A2),"")</f>
      </c>
      <c r="C9" s="3">
        <f>_xlfn.IFERROR(IF(ISBLANK('Team Information Input'!B2),"",'Team Information Input'!B2),"")</f>
      </c>
      <c r="D9" s="3">
        <f>'Team Information Input'!D2</f>
        <v>0</v>
      </c>
      <c r="E9" s="4">
        <f>_xlfn.IFERROR(I9+J9*10000+K9*100000000,_xlfn.IFERROR(I9*10000+#REF!*100000000,_xlfn.IFERROR(#REF!*100000000,"")))</f>
      </c>
      <c r="F9" s="4">
        <f>_xlfn.IFERROR(IF(B9&gt;0,VLOOKUP(B9,'Robot Performance Analysis'!B$7:G$119,4,FALSE),"TBD"),"")</f>
        <v>0</v>
      </c>
      <c r="G9" s="4">
        <f>_xlfn.IFERROR(IF(B9&gt;0,VLOOKUP(B9,'Robot Performance Analysis'!B$7:G$119,5,FALSE),"TBD"),"")</f>
        <v>0</v>
      </c>
      <c r="H9" s="4">
        <f>_xlfn.IFERROR(IF(B9&gt;0,VLOOKUP(B9,'Robot Performance Analysis'!B$7:G$119,6,FALSE),"TBD"),"")</f>
        <v>0</v>
      </c>
      <c r="I9" s="4">
        <f aca="true" t="shared" si="0" ref="I9:I40">_xlfn.IFERROR(IF(COUNTA(F9:H9)&gt;1,MIN(F9:H9),""),"")</f>
        <v>0</v>
      </c>
      <c r="J9" s="4">
        <f aca="true" t="shared" si="1" ref="J9:J40">_xlfn.IFERROR(IF(COUNTA(F9:H9)&gt;2,MEDIAN(F9:H9)," ")," ")</f>
        <v>0</v>
      </c>
      <c r="K9" s="4">
        <f aca="true" t="shared" si="2" ref="K9:K40">_xlfn.IFERROR(IF(SUM(F9:H9)&gt;0,MAX(F9:H9),""),"")</f>
      </c>
      <c r="L9" s="6">
        <f aca="true" t="shared" si="3" ref="L9:L40">IF(ISNUMBER(K9),IF(F9="TBD","TBD",RANK(E9,E$1:E$65536,0)),"")</f>
      </c>
      <c r="M9" s="9">
        <f aca="true" t="shared" si="4" ref="M9:M40">IF(ISNUMBER(L9),IF(F9="TBD","TBD",L9/MAX(L$1:L$65536)),"")</f>
      </c>
      <c r="N9" s="6"/>
      <c r="O9" s="6"/>
      <c r="P9" s="6"/>
      <c r="Q9" s="5">
        <f aca="true" t="shared" si="5" ref="Q9:Q40">IF(B9="","",IF(AND(ISNUMBER(N9),ISNUMBER(O9),ISNUMBER(P9)),N9+O9+P9,"Ineligible"))</f>
      </c>
      <c r="R9" s="50">
        <f aca="true" t="shared" si="6" ref="R9:R40">_xlfn.IFERROR(STDEV(O9:Q9),9999)</f>
        <v>9999</v>
      </c>
      <c r="S9" s="6">
        <f aca="true" t="shared" si="7" ref="S9:S40">IF(ISBLANK(B9),"",IF(ISNUMBER(Q9),RANK(Q9,Q$1:Q$65536,1),""))</f>
      </c>
      <c r="T9" s="57"/>
      <c r="U9" s="6">
        <f aca="true" t="shared" si="8" ref="U9:U40">_xlfn.IFERROR(VLOOKUP(T9,T19:W248,2,0),"")</f>
      </c>
      <c r="V9" s="57"/>
      <c r="W9" s="8"/>
      <c r="X9" s="7">
        <f aca="true" t="shared" si="9" ref="X9:X40">_xlfn.IFERROR(B9,"")</f>
      </c>
    </row>
    <row r="10" spans="2:24" ht="24.75" customHeight="1">
      <c r="B10" s="7">
        <f>_xlfn.IFERROR(IF(ISBLANK('Team Information Input'!A3),"",'Team Information Input'!A3),"")</f>
      </c>
      <c r="C10" s="3">
        <f>_xlfn.IFERROR(IF(ISBLANK('Team Information Input'!B3),"",'Team Information Input'!B3),"")</f>
      </c>
      <c r="D10" s="3">
        <f>'Team Information Input'!D3</f>
        <v>0</v>
      </c>
      <c r="E10" s="4">
        <f>_xlfn.IFERROR(I10+J10*10000+K10*100000000,_xlfn.IFERROR(I10*10000+#REF!*100000000,_xlfn.IFERROR(#REF!*100000000,"")))</f>
      </c>
      <c r="F10" s="4">
        <f>_xlfn.IFERROR(IF(B10&gt;0,VLOOKUP(B10,'Robot Performance Analysis'!B$7:G$119,4,FALSE),"TBD"),"")</f>
        <v>0</v>
      </c>
      <c r="G10" s="4">
        <f>_xlfn.IFERROR(IF(B10&gt;0,VLOOKUP(B10,'Robot Performance Analysis'!B$7:G$119,5,FALSE),"TBD"),"")</f>
        <v>0</v>
      </c>
      <c r="H10" s="4">
        <f>_xlfn.IFERROR(IF(B10&gt;0,VLOOKUP(B10,'Robot Performance Analysis'!B$7:G$119,6,FALSE),"TBD"),"")</f>
        <v>0</v>
      </c>
      <c r="I10" s="4">
        <f t="shared" si="0"/>
        <v>0</v>
      </c>
      <c r="J10" s="4">
        <f t="shared" si="1"/>
        <v>0</v>
      </c>
      <c r="K10" s="4">
        <f t="shared" si="2"/>
      </c>
      <c r="L10" s="6">
        <f t="shared" si="3"/>
      </c>
      <c r="M10" s="9">
        <f t="shared" si="4"/>
      </c>
      <c r="N10" s="6"/>
      <c r="O10" s="6"/>
      <c r="P10" s="6"/>
      <c r="Q10" s="5">
        <f t="shared" si="5"/>
      </c>
      <c r="R10" s="50">
        <f t="shared" si="6"/>
        <v>9999</v>
      </c>
      <c r="S10" s="6">
        <f t="shared" si="7"/>
      </c>
      <c r="T10" s="57"/>
      <c r="U10" s="6">
        <f t="shared" si="8"/>
      </c>
      <c r="V10" s="57"/>
      <c r="W10" s="8"/>
      <c r="X10" s="7">
        <f t="shared" si="9"/>
      </c>
    </row>
    <row r="11" spans="2:24" ht="24.75" customHeight="1">
      <c r="B11" s="7">
        <f>_xlfn.IFERROR(IF(ISBLANK('Team Information Input'!A4),"",'Team Information Input'!A4),"")</f>
      </c>
      <c r="C11" s="3">
        <f>_xlfn.IFERROR(IF(ISBLANK('Team Information Input'!B4),"",'Team Information Input'!B4),"")</f>
      </c>
      <c r="D11" s="3">
        <f>'Team Information Input'!D4</f>
        <v>0</v>
      </c>
      <c r="E11" s="4">
        <f>_xlfn.IFERROR(I11+J11*10000+K11*100000000,_xlfn.IFERROR(I11*10000+#REF!*100000000,_xlfn.IFERROR(#REF!*100000000,"")))</f>
      </c>
      <c r="F11" s="4">
        <f>_xlfn.IFERROR(IF(B11&gt;0,VLOOKUP(B11,'Robot Performance Analysis'!B$7:G$119,4,FALSE),"TBD"),"")</f>
        <v>0</v>
      </c>
      <c r="G11" s="4">
        <f>_xlfn.IFERROR(IF(B11&gt;0,VLOOKUP(B11,'Robot Performance Analysis'!B$7:G$119,5,FALSE),"TBD"),"")</f>
        <v>0</v>
      </c>
      <c r="H11" s="4">
        <f>_xlfn.IFERROR(IF(B11&gt;0,VLOOKUP(B11,'Robot Performance Analysis'!B$7:G$119,6,FALSE),"TBD"),"")</f>
        <v>0</v>
      </c>
      <c r="I11" s="4">
        <f t="shared" si="0"/>
        <v>0</v>
      </c>
      <c r="J11" s="4">
        <f t="shared" si="1"/>
        <v>0</v>
      </c>
      <c r="K11" s="4">
        <f t="shared" si="2"/>
      </c>
      <c r="L11" s="6">
        <f t="shared" si="3"/>
      </c>
      <c r="M11" s="9">
        <f t="shared" si="4"/>
      </c>
      <c r="N11" s="6"/>
      <c r="O11" s="6"/>
      <c r="P11" s="6"/>
      <c r="Q11" s="5">
        <f t="shared" si="5"/>
      </c>
      <c r="R11" s="50">
        <f t="shared" si="6"/>
        <v>9999</v>
      </c>
      <c r="S11" s="6">
        <f t="shared" si="7"/>
      </c>
      <c r="T11" s="57"/>
      <c r="U11" s="6">
        <f t="shared" si="8"/>
      </c>
      <c r="V11" s="57"/>
      <c r="W11" s="8"/>
      <c r="X11" s="7">
        <f t="shared" si="9"/>
      </c>
    </row>
    <row r="12" spans="2:24" ht="24.75" customHeight="1">
      <c r="B12" s="7">
        <f>_xlfn.IFERROR(IF(ISBLANK('Team Information Input'!A5),"",'Team Information Input'!A5),"")</f>
      </c>
      <c r="C12" s="3">
        <f>_xlfn.IFERROR(IF(ISBLANK('Team Information Input'!B5),"",'Team Information Input'!B5),"")</f>
      </c>
      <c r="D12" s="3">
        <f>'Team Information Input'!D5</f>
        <v>0</v>
      </c>
      <c r="E12" s="4">
        <f>_xlfn.IFERROR(I12+J12*10000+K12*100000000,_xlfn.IFERROR(I12*10000+#REF!*100000000,_xlfn.IFERROR(#REF!*100000000,"")))</f>
      </c>
      <c r="F12" s="4">
        <f>_xlfn.IFERROR(IF(B12&gt;0,VLOOKUP(B12,'Robot Performance Analysis'!B$7:G$119,4,FALSE),"TBD"),"")</f>
        <v>0</v>
      </c>
      <c r="G12" s="4">
        <f>_xlfn.IFERROR(IF(B12&gt;0,VLOOKUP(B12,'Robot Performance Analysis'!B$7:G$119,5,FALSE),"TBD"),"")</f>
        <v>0</v>
      </c>
      <c r="H12" s="4">
        <f>_xlfn.IFERROR(IF(B12&gt;0,VLOOKUP(B12,'Robot Performance Analysis'!B$7:G$119,6,FALSE),"TBD"),"")</f>
        <v>0</v>
      </c>
      <c r="I12" s="4">
        <f t="shared" si="0"/>
        <v>0</v>
      </c>
      <c r="J12" s="4">
        <f t="shared" si="1"/>
        <v>0</v>
      </c>
      <c r="K12" s="4">
        <f t="shared" si="2"/>
      </c>
      <c r="L12" s="6">
        <f t="shared" si="3"/>
      </c>
      <c r="M12" s="9">
        <f t="shared" si="4"/>
      </c>
      <c r="N12" s="6"/>
      <c r="O12" s="6"/>
      <c r="P12" s="6"/>
      <c r="Q12" s="5">
        <f t="shared" si="5"/>
      </c>
      <c r="R12" s="50">
        <f t="shared" si="6"/>
        <v>9999</v>
      </c>
      <c r="S12" s="6">
        <f t="shared" si="7"/>
      </c>
      <c r="T12" s="57"/>
      <c r="U12" s="6">
        <f t="shared" si="8"/>
      </c>
      <c r="V12" s="57"/>
      <c r="W12" s="8"/>
      <c r="X12" s="7">
        <f t="shared" si="9"/>
      </c>
    </row>
    <row r="13" spans="2:24" ht="24.75" customHeight="1">
      <c r="B13" s="7">
        <f>_xlfn.IFERROR(IF(ISBLANK('Team Information Input'!A6),"",'Team Information Input'!A6),"")</f>
      </c>
      <c r="C13" s="3">
        <f>_xlfn.IFERROR(IF(ISBLANK('Team Information Input'!B6),"",'Team Information Input'!B6),"")</f>
      </c>
      <c r="D13" s="3">
        <f>'Team Information Input'!D6</f>
        <v>0</v>
      </c>
      <c r="E13" s="4">
        <f>_xlfn.IFERROR(I13+J13*10000+K13*100000000,_xlfn.IFERROR(I13*10000+#REF!*100000000,_xlfn.IFERROR(#REF!*100000000,"")))</f>
      </c>
      <c r="F13" s="4">
        <f>_xlfn.IFERROR(IF(B13&gt;0,VLOOKUP(B13,'Robot Performance Analysis'!B$7:G$119,4,FALSE),"TBD"),"")</f>
        <v>0</v>
      </c>
      <c r="G13" s="4">
        <f>_xlfn.IFERROR(IF(B13&gt;0,VLOOKUP(B13,'Robot Performance Analysis'!B$7:G$119,5,FALSE),"TBD"),"")</f>
        <v>0</v>
      </c>
      <c r="H13" s="4">
        <f>_xlfn.IFERROR(IF(B13&gt;0,VLOOKUP(B13,'Robot Performance Analysis'!B$7:G$119,6,FALSE),"TBD"),"")</f>
        <v>0</v>
      </c>
      <c r="I13" s="4">
        <f t="shared" si="0"/>
        <v>0</v>
      </c>
      <c r="J13" s="4">
        <f t="shared" si="1"/>
        <v>0</v>
      </c>
      <c r="K13" s="4">
        <f t="shared" si="2"/>
      </c>
      <c r="L13" s="6">
        <f t="shared" si="3"/>
      </c>
      <c r="M13" s="9">
        <f t="shared" si="4"/>
      </c>
      <c r="N13" s="6"/>
      <c r="O13" s="6"/>
      <c r="P13" s="6"/>
      <c r="Q13" s="5">
        <f t="shared" si="5"/>
      </c>
      <c r="R13" s="50">
        <f t="shared" si="6"/>
        <v>9999</v>
      </c>
      <c r="S13" s="6">
        <f t="shared" si="7"/>
      </c>
      <c r="T13" s="57"/>
      <c r="U13" s="6">
        <f t="shared" si="8"/>
      </c>
      <c r="V13" s="57"/>
      <c r="W13" s="8"/>
      <c r="X13" s="7">
        <f t="shared" si="9"/>
      </c>
    </row>
    <row r="14" spans="2:24" ht="24.75" customHeight="1">
      <c r="B14" s="7">
        <f>_xlfn.IFERROR(IF(ISBLANK('Team Information Input'!A7),"",'Team Information Input'!A7),"")</f>
      </c>
      <c r="C14" s="3">
        <f>_xlfn.IFERROR(IF(ISBLANK('Team Information Input'!B7),"",'Team Information Input'!B7),"")</f>
      </c>
      <c r="D14" s="3">
        <f>'Team Information Input'!D7</f>
        <v>0</v>
      </c>
      <c r="E14" s="4">
        <f>_xlfn.IFERROR(I14+J14*10000+K14*100000000,_xlfn.IFERROR(I14*10000+#REF!*100000000,_xlfn.IFERROR(#REF!*100000000,"")))</f>
      </c>
      <c r="F14" s="4">
        <f>_xlfn.IFERROR(IF(B14&gt;0,VLOOKUP(B14,'Robot Performance Analysis'!B$7:G$119,4,FALSE),"TBD"),"")</f>
        <v>0</v>
      </c>
      <c r="G14" s="4">
        <f>_xlfn.IFERROR(IF(B14&gt;0,VLOOKUP(B14,'Robot Performance Analysis'!B$7:G$119,5,FALSE),"TBD"),"")</f>
        <v>0</v>
      </c>
      <c r="H14" s="4">
        <f>_xlfn.IFERROR(IF(B14&gt;0,VLOOKUP(B14,'Robot Performance Analysis'!B$7:G$119,6,FALSE),"TBD"),"")</f>
        <v>0</v>
      </c>
      <c r="I14" s="4">
        <f t="shared" si="0"/>
        <v>0</v>
      </c>
      <c r="J14" s="4">
        <f t="shared" si="1"/>
        <v>0</v>
      </c>
      <c r="K14" s="4">
        <f t="shared" si="2"/>
      </c>
      <c r="L14" s="6">
        <f t="shared" si="3"/>
      </c>
      <c r="M14" s="9">
        <f t="shared" si="4"/>
      </c>
      <c r="N14" s="6"/>
      <c r="O14" s="6"/>
      <c r="P14" s="6"/>
      <c r="Q14" s="5">
        <f t="shared" si="5"/>
      </c>
      <c r="R14" s="50">
        <f t="shared" si="6"/>
        <v>9999</v>
      </c>
      <c r="S14" s="6">
        <f t="shared" si="7"/>
      </c>
      <c r="T14" s="57"/>
      <c r="U14" s="6">
        <f t="shared" si="8"/>
      </c>
      <c r="V14" s="57"/>
      <c r="W14" s="8"/>
      <c r="X14" s="7">
        <f t="shared" si="9"/>
      </c>
    </row>
    <row r="15" spans="2:24" ht="24.75" customHeight="1">
      <c r="B15" s="7">
        <f>_xlfn.IFERROR(IF(ISBLANK('Team Information Input'!A8),"",'Team Information Input'!A8),"")</f>
      </c>
      <c r="C15" s="3">
        <f>_xlfn.IFERROR(IF(ISBLANK('Team Information Input'!B8),"",'Team Information Input'!B8),"")</f>
      </c>
      <c r="D15" s="3">
        <f>'Team Information Input'!D8</f>
        <v>0</v>
      </c>
      <c r="E15" s="4">
        <f>_xlfn.IFERROR(I15+J15*10000+K15*100000000,_xlfn.IFERROR(I15*10000+#REF!*100000000,_xlfn.IFERROR(#REF!*100000000,"")))</f>
      </c>
      <c r="F15" s="4">
        <f>_xlfn.IFERROR(IF(B15&gt;0,VLOOKUP(B15,'Robot Performance Analysis'!B$7:G$119,4,FALSE),"TBD"),"")</f>
        <v>0</v>
      </c>
      <c r="G15" s="4">
        <f>_xlfn.IFERROR(IF(B15&gt;0,VLOOKUP(B15,'Robot Performance Analysis'!B$7:G$119,5,FALSE),"TBD"),"")</f>
        <v>0</v>
      </c>
      <c r="H15" s="4">
        <f>_xlfn.IFERROR(IF(B15&gt;0,VLOOKUP(B15,'Robot Performance Analysis'!B$7:G$119,6,FALSE),"TBD"),"")</f>
        <v>0</v>
      </c>
      <c r="I15" s="4">
        <f t="shared" si="0"/>
        <v>0</v>
      </c>
      <c r="J15" s="4">
        <f t="shared" si="1"/>
        <v>0</v>
      </c>
      <c r="K15" s="4">
        <f t="shared" si="2"/>
      </c>
      <c r="L15" s="6">
        <f t="shared" si="3"/>
      </c>
      <c r="M15" s="9">
        <f t="shared" si="4"/>
      </c>
      <c r="N15" s="6"/>
      <c r="O15" s="6"/>
      <c r="P15" s="6"/>
      <c r="Q15" s="5">
        <f t="shared" si="5"/>
      </c>
      <c r="R15" s="50">
        <f t="shared" si="6"/>
        <v>9999</v>
      </c>
      <c r="S15" s="6">
        <f t="shared" si="7"/>
      </c>
      <c r="T15" s="57"/>
      <c r="U15" s="6">
        <f t="shared" si="8"/>
      </c>
      <c r="V15" s="57"/>
      <c r="W15" s="8"/>
      <c r="X15" s="7">
        <f t="shared" si="9"/>
      </c>
    </row>
    <row r="16" spans="2:24" ht="24.75" customHeight="1">
      <c r="B16" s="7">
        <f>_xlfn.IFERROR(IF(ISBLANK('Team Information Input'!A9),"",'Team Information Input'!A9),"")</f>
      </c>
      <c r="C16" s="3">
        <f>_xlfn.IFERROR(IF(ISBLANK('Team Information Input'!B9),"",'Team Information Input'!B9),"")</f>
      </c>
      <c r="D16" s="3">
        <f>'Team Information Input'!D9</f>
        <v>0</v>
      </c>
      <c r="E16" s="4">
        <f>_xlfn.IFERROR(I16+J16*10000+K16*100000000,_xlfn.IFERROR(I16*10000+#REF!*100000000,_xlfn.IFERROR(#REF!*100000000,"")))</f>
      </c>
      <c r="F16" s="4">
        <f>_xlfn.IFERROR(IF(B16&gt;0,VLOOKUP(B16,'Robot Performance Analysis'!B$7:G$119,4,FALSE),"TBD"),"")</f>
        <v>0</v>
      </c>
      <c r="G16" s="4">
        <f>_xlfn.IFERROR(IF(B16&gt;0,VLOOKUP(B16,'Robot Performance Analysis'!B$7:G$119,5,FALSE),"TBD"),"")</f>
        <v>0</v>
      </c>
      <c r="H16" s="4">
        <f>_xlfn.IFERROR(IF(B16&gt;0,VLOOKUP(B16,'Robot Performance Analysis'!B$7:G$119,6,FALSE),"TBD"),"")</f>
        <v>0</v>
      </c>
      <c r="I16" s="4">
        <f t="shared" si="0"/>
        <v>0</v>
      </c>
      <c r="J16" s="4">
        <f t="shared" si="1"/>
        <v>0</v>
      </c>
      <c r="K16" s="4">
        <f t="shared" si="2"/>
      </c>
      <c r="L16" s="6">
        <f t="shared" si="3"/>
      </c>
      <c r="M16" s="9">
        <f t="shared" si="4"/>
      </c>
      <c r="N16" s="6"/>
      <c r="O16" s="6"/>
      <c r="P16" s="6"/>
      <c r="Q16" s="5">
        <f t="shared" si="5"/>
      </c>
      <c r="R16" s="50">
        <f t="shared" si="6"/>
        <v>9999</v>
      </c>
      <c r="S16" s="6">
        <f t="shared" si="7"/>
      </c>
      <c r="T16" s="57"/>
      <c r="U16" s="6">
        <f t="shared" si="8"/>
      </c>
      <c r="V16" s="57"/>
      <c r="W16" s="8"/>
      <c r="X16" s="7">
        <f t="shared" si="9"/>
      </c>
    </row>
    <row r="17" spans="2:24" ht="24.75" customHeight="1">
      <c r="B17" s="7">
        <f>_xlfn.IFERROR(IF(ISBLANK('Team Information Input'!A10),"",'Team Information Input'!A10),"")</f>
      </c>
      <c r="C17" s="3">
        <f>_xlfn.IFERROR(IF(ISBLANK('Team Information Input'!B10),"",'Team Information Input'!B10),"")</f>
      </c>
      <c r="D17" s="3">
        <f>'Team Information Input'!D10</f>
        <v>0</v>
      </c>
      <c r="E17" s="4">
        <f>_xlfn.IFERROR(I17+J17*10000+K17*100000000,_xlfn.IFERROR(I17*10000+#REF!*100000000,_xlfn.IFERROR(#REF!*100000000,"")))</f>
      </c>
      <c r="F17" s="4">
        <f>_xlfn.IFERROR(IF(B17&gt;0,VLOOKUP(B17,'Robot Performance Analysis'!B$7:G$119,4,FALSE),"TBD"),"")</f>
        <v>0</v>
      </c>
      <c r="G17" s="4">
        <f>_xlfn.IFERROR(IF(B17&gt;0,VLOOKUP(B17,'Robot Performance Analysis'!B$7:G$119,5,FALSE),"TBD"),"")</f>
        <v>0</v>
      </c>
      <c r="H17" s="4">
        <f>_xlfn.IFERROR(IF(B17&gt;0,VLOOKUP(B17,'Robot Performance Analysis'!B$7:G$119,6,FALSE),"TBD"),"")</f>
        <v>0</v>
      </c>
      <c r="I17" s="4">
        <f t="shared" si="0"/>
        <v>0</v>
      </c>
      <c r="J17" s="4">
        <f t="shared" si="1"/>
        <v>0</v>
      </c>
      <c r="K17" s="4">
        <f t="shared" si="2"/>
      </c>
      <c r="L17" s="6">
        <f t="shared" si="3"/>
      </c>
      <c r="M17" s="9">
        <f t="shared" si="4"/>
      </c>
      <c r="N17" s="6"/>
      <c r="O17" s="6"/>
      <c r="P17" s="6"/>
      <c r="Q17" s="5">
        <f t="shared" si="5"/>
      </c>
      <c r="R17" s="50">
        <f t="shared" si="6"/>
        <v>9999</v>
      </c>
      <c r="S17" s="6">
        <f t="shared" si="7"/>
      </c>
      <c r="T17" s="57"/>
      <c r="U17" s="6">
        <f t="shared" si="8"/>
      </c>
      <c r="V17" s="57"/>
      <c r="W17" s="8"/>
      <c r="X17" s="7">
        <f t="shared" si="9"/>
      </c>
    </row>
    <row r="18" spans="2:24" ht="24.75" customHeight="1">
      <c r="B18" s="7">
        <f>_xlfn.IFERROR(IF(ISBLANK('Team Information Input'!A11),"",'Team Information Input'!A11),"")</f>
      </c>
      <c r="C18" s="3">
        <f>_xlfn.IFERROR(IF(ISBLANK('Team Information Input'!B11),"",'Team Information Input'!B11),"")</f>
      </c>
      <c r="D18" s="3">
        <f>'Team Information Input'!D11</f>
        <v>0</v>
      </c>
      <c r="E18" s="4">
        <f>_xlfn.IFERROR(I18+J18*10000+K18*100000000,_xlfn.IFERROR(I18*10000+#REF!*100000000,_xlfn.IFERROR(#REF!*100000000,"")))</f>
      </c>
      <c r="F18" s="4">
        <f>_xlfn.IFERROR(IF(B18&gt;0,VLOOKUP(B18,'Robot Performance Analysis'!B$7:G$119,4,FALSE),"TBD"),"")</f>
        <v>0</v>
      </c>
      <c r="G18" s="4">
        <f>_xlfn.IFERROR(IF(B18&gt;0,VLOOKUP(B18,'Robot Performance Analysis'!B$7:G$119,5,FALSE),"TBD"),"")</f>
        <v>0</v>
      </c>
      <c r="H18" s="4">
        <f>_xlfn.IFERROR(IF(B18&gt;0,VLOOKUP(B18,'Robot Performance Analysis'!B$7:G$119,6,FALSE),"TBD"),"")</f>
        <v>0</v>
      </c>
      <c r="I18" s="4">
        <f t="shared" si="0"/>
        <v>0</v>
      </c>
      <c r="J18" s="4">
        <f t="shared" si="1"/>
        <v>0</v>
      </c>
      <c r="K18" s="4">
        <f t="shared" si="2"/>
      </c>
      <c r="L18" s="6">
        <f t="shared" si="3"/>
      </c>
      <c r="M18" s="9">
        <f t="shared" si="4"/>
      </c>
      <c r="N18" s="6"/>
      <c r="O18" s="6"/>
      <c r="P18" s="6"/>
      <c r="Q18" s="5">
        <f t="shared" si="5"/>
      </c>
      <c r="R18" s="50">
        <f t="shared" si="6"/>
        <v>9999</v>
      </c>
      <c r="S18" s="6">
        <f t="shared" si="7"/>
      </c>
      <c r="T18" s="57"/>
      <c r="U18" s="6">
        <f t="shared" si="8"/>
      </c>
      <c r="V18" s="57"/>
      <c r="W18" s="8"/>
      <c r="X18" s="7">
        <f t="shared" si="9"/>
      </c>
    </row>
    <row r="19" spans="2:24" ht="24.75" customHeight="1">
      <c r="B19" s="7">
        <f>_xlfn.IFERROR(IF(ISBLANK('Team Information Input'!A12),"",'Team Information Input'!A12),"")</f>
      </c>
      <c r="C19" s="3">
        <f>_xlfn.IFERROR(IF(ISBLANK('Team Information Input'!B12),"",'Team Information Input'!B12),"")</f>
      </c>
      <c r="D19" s="3">
        <f>'Team Information Input'!D12</f>
        <v>0</v>
      </c>
      <c r="E19" s="4">
        <f>_xlfn.IFERROR(I19+J19*10000+K19*100000000,_xlfn.IFERROR(I19*10000+#REF!*100000000,_xlfn.IFERROR(#REF!*100000000,"")))</f>
      </c>
      <c r="F19" s="4">
        <f>_xlfn.IFERROR(IF(B19&gt;0,VLOOKUP(B19,'Robot Performance Analysis'!B$7:G$119,4,FALSE),"TBD"),"")</f>
        <v>0</v>
      </c>
      <c r="G19" s="4">
        <f>_xlfn.IFERROR(IF(B19&gt;0,VLOOKUP(B19,'Robot Performance Analysis'!B$7:G$119,5,FALSE),"TBD"),"")</f>
        <v>0</v>
      </c>
      <c r="H19" s="4">
        <f>_xlfn.IFERROR(IF(B19&gt;0,VLOOKUP(B19,'Robot Performance Analysis'!B$7:G$119,6,FALSE),"TBD"),"")</f>
        <v>0</v>
      </c>
      <c r="I19" s="4">
        <f t="shared" si="0"/>
        <v>0</v>
      </c>
      <c r="J19" s="4">
        <f t="shared" si="1"/>
        <v>0</v>
      </c>
      <c r="K19" s="4">
        <f t="shared" si="2"/>
      </c>
      <c r="L19" s="6">
        <f t="shared" si="3"/>
      </c>
      <c r="M19" s="9">
        <f t="shared" si="4"/>
      </c>
      <c r="N19" s="6"/>
      <c r="O19" s="6"/>
      <c r="P19" s="6"/>
      <c r="Q19" s="5">
        <f t="shared" si="5"/>
      </c>
      <c r="R19" s="50">
        <f t="shared" si="6"/>
        <v>9999</v>
      </c>
      <c r="S19" s="6">
        <f t="shared" si="7"/>
      </c>
      <c r="T19" s="57"/>
      <c r="U19" s="6">
        <f t="shared" si="8"/>
      </c>
      <c r="V19" s="57"/>
      <c r="W19" s="8"/>
      <c r="X19" s="7">
        <f t="shared" si="9"/>
      </c>
    </row>
    <row r="20" spans="2:24" ht="24.75" customHeight="1">
      <c r="B20" s="7">
        <f>_xlfn.IFERROR(IF(ISBLANK('Team Information Input'!A13),"",'Team Information Input'!A13),"")</f>
      </c>
      <c r="C20" s="3">
        <f>_xlfn.IFERROR(IF(ISBLANK('Team Information Input'!B13),"",'Team Information Input'!B13),"")</f>
      </c>
      <c r="D20" s="3">
        <f>'Team Information Input'!D13</f>
        <v>0</v>
      </c>
      <c r="E20" s="4">
        <f>_xlfn.IFERROR(I20+J20*10000+K20*100000000,_xlfn.IFERROR(I20*10000+#REF!*100000000,_xlfn.IFERROR(#REF!*100000000,"")))</f>
      </c>
      <c r="F20" s="4">
        <f>_xlfn.IFERROR(IF(B20&gt;0,VLOOKUP(B20,'Robot Performance Analysis'!B$7:G$119,4,FALSE),"TBD"),"")</f>
        <v>0</v>
      </c>
      <c r="G20" s="4">
        <f>_xlfn.IFERROR(IF(B20&gt;0,VLOOKUP(B20,'Robot Performance Analysis'!B$7:G$119,5,FALSE),"TBD"),"")</f>
        <v>0</v>
      </c>
      <c r="H20" s="4">
        <f>_xlfn.IFERROR(IF(B20&gt;0,VLOOKUP(B20,'Robot Performance Analysis'!B$7:G$119,6,FALSE),"TBD"),"")</f>
        <v>0</v>
      </c>
      <c r="I20" s="4">
        <f t="shared" si="0"/>
        <v>0</v>
      </c>
      <c r="J20" s="4">
        <f t="shared" si="1"/>
        <v>0</v>
      </c>
      <c r="K20" s="4">
        <f t="shared" si="2"/>
      </c>
      <c r="L20" s="6">
        <f t="shared" si="3"/>
      </c>
      <c r="M20" s="9">
        <f t="shared" si="4"/>
      </c>
      <c r="N20" s="6"/>
      <c r="O20" s="6"/>
      <c r="P20" s="6"/>
      <c r="Q20" s="5">
        <f t="shared" si="5"/>
      </c>
      <c r="R20" s="50">
        <f t="shared" si="6"/>
        <v>9999</v>
      </c>
      <c r="S20" s="6">
        <f t="shared" si="7"/>
      </c>
      <c r="T20" s="57"/>
      <c r="U20" s="6">
        <f t="shared" si="8"/>
      </c>
      <c r="V20" s="57"/>
      <c r="W20" s="8"/>
      <c r="X20" s="7">
        <f t="shared" si="9"/>
      </c>
    </row>
    <row r="21" spans="2:24" ht="24.75" customHeight="1">
      <c r="B21" s="7">
        <f>_xlfn.IFERROR(IF(ISBLANK('Team Information Input'!A14),"",'Team Information Input'!A14),"")</f>
      </c>
      <c r="C21" s="3">
        <f>_xlfn.IFERROR(IF(ISBLANK('Team Information Input'!B14),"",'Team Information Input'!B14),"")</f>
      </c>
      <c r="D21" s="3">
        <f>'Team Information Input'!D14</f>
        <v>0</v>
      </c>
      <c r="E21" s="4">
        <f>_xlfn.IFERROR(I21+J21*10000+K21*100000000,_xlfn.IFERROR(I21*10000+#REF!*100000000,_xlfn.IFERROR(#REF!*100000000,"")))</f>
      </c>
      <c r="F21" s="4">
        <f>_xlfn.IFERROR(IF(B21&gt;0,VLOOKUP(B21,'Robot Performance Analysis'!B$7:G$119,4,FALSE),"TBD"),"")</f>
        <v>0</v>
      </c>
      <c r="G21" s="4">
        <f>_xlfn.IFERROR(IF(B21&gt;0,VLOOKUP(B21,'Robot Performance Analysis'!B$7:G$119,5,FALSE),"TBD"),"")</f>
        <v>0</v>
      </c>
      <c r="H21" s="4">
        <f>_xlfn.IFERROR(IF(B21&gt;0,VLOOKUP(B21,'Robot Performance Analysis'!B$7:G$119,6,FALSE),"TBD"),"")</f>
        <v>0</v>
      </c>
      <c r="I21" s="4">
        <f t="shared" si="0"/>
        <v>0</v>
      </c>
      <c r="J21" s="4">
        <f t="shared" si="1"/>
        <v>0</v>
      </c>
      <c r="K21" s="4">
        <f t="shared" si="2"/>
      </c>
      <c r="L21" s="6">
        <f t="shared" si="3"/>
      </c>
      <c r="M21" s="9">
        <f t="shared" si="4"/>
      </c>
      <c r="N21" s="6"/>
      <c r="O21" s="6"/>
      <c r="P21" s="6"/>
      <c r="Q21" s="5">
        <f t="shared" si="5"/>
      </c>
      <c r="R21" s="50">
        <f t="shared" si="6"/>
        <v>9999</v>
      </c>
      <c r="S21" s="6">
        <f t="shared" si="7"/>
      </c>
      <c r="T21" s="57"/>
      <c r="U21" s="6">
        <f t="shared" si="8"/>
      </c>
      <c r="V21" s="57"/>
      <c r="W21" s="8"/>
      <c r="X21" s="7">
        <f t="shared" si="9"/>
      </c>
    </row>
    <row r="22" spans="2:24" ht="24.75" customHeight="1">
      <c r="B22" s="7">
        <f>_xlfn.IFERROR(IF(ISBLANK('Team Information Input'!A15),"",'Team Information Input'!A15),"")</f>
      </c>
      <c r="C22" s="3">
        <f>_xlfn.IFERROR(IF(ISBLANK('Team Information Input'!B15),"",'Team Information Input'!B15),"")</f>
      </c>
      <c r="D22" s="3">
        <f>'Team Information Input'!D15</f>
        <v>0</v>
      </c>
      <c r="E22" s="4">
        <f>_xlfn.IFERROR(I22+J22*10000+K22*100000000,_xlfn.IFERROR(I22*10000+#REF!*100000000,_xlfn.IFERROR(#REF!*100000000,"")))</f>
      </c>
      <c r="F22" s="4">
        <f>_xlfn.IFERROR(IF(B22&gt;0,VLOOKUP(B22,'Robot Performance Analysis'!B$7:G$119,4,FALSE),"TBD"),"")</f>
        <v>0</v>
      </c>
      <c r="G22" s="4">
        <f>_xlfn.IFERROR(IF(B22&gt;0,VLOOKUP(B22,'Robot Performance Analysis'!B$7:G$119,5,FALSE),"TBD"),"")</f>
        <v>0</v>
      </c>
      <c r="H22" s="4">
        <f>_xlfn.IFERROR(IF(B22&gt;0,VLOOKUP(B22,'Robot Performance Analysis'!B$7:G$119,6,FALSE),"TBD"),"")</f>
        <v>0</v>
      </c>
      <c r="I22" s="4">
        <f t="shared" si="0"/>
        <v>0</v>
      </c>
      <c r="J22" s="4">
        <f t="shared" si="1"/>
        <v>0</v>
      </c>
      <c r="K22" s="4">
        <f t="shared" si="2"/>
      </c>
      <c r="L22" s="6">
        <f t="shared" si="3"/>
      </c>
      <c r="M22" s="9">
        <f t="shared" si="4"/>
      </c>
      <c r="N22" s="6"/>
      <c r="O22" s="6"/>
      <c r="P22" s="6"/>
      <c r="Q22" s="5">
        <f t="shared" si="5"/>
      </c>
      <c r="R22" s="50">
        <f t="shared" si="6"/>
        <v>9999</v>
      </c>
      <c r="S22" s="6">
        <f t="shared" si="7"/>
      </c>
      <c r="T22" s="57"/>
      <c r="U22" s="6">
        <f t="shared" si="8"/>
      </c>
      <c r="V22" s="57"/>
      <c r="W22" s="8"/>
      <c r="X22" s="7">
        <f t="shared" si="9"/>
      </c>
    </row>
    <row r="23" spans="2:24" ht="24.75" customHeight="1">
      <c r="B23" s="7">
        <f>_xlfn.IFERROR(IF(ISBLANK('Team Information Input'!A16),"",'Team Information Input'!A16),"")</f>
      </c>
      <c r="C23" s="3">
        <f>_xlfn.IFERROR(IF(ISBLANK('Team Information Input'!B16),"",'Team Information Input'!B16),"")</f>
      </c>
      <c r="D23" s="3">
        <f>'Team Information Input'!D16</f>
        <v>0</v>
      </c>
      <c r="E23" s="4">
        <f>_xlfn.IFERROR(I23+J23*10000+K23*100000000,_xlfn.IFERROR(I23*10000+#REF!*100000000,_xlfn.IFERROR(#REF!*100000000,"")))</f>
      </c>
      <c r="F23" s="4">
        <f>_xlfn.IFERROR(IF(B23&gt;0,VLOOKUP(B23,'Robot Performance Analysis'!B$7:G$119,4,FALSE),"TBD"),"")</f>
        <v>0</v>
      </c>
      <c r="G23" s="4">
        <f>_xlfn.IFERROR(IF(B23&gt;0,VLOOKUP(B23,'Robot Performance Analysis'!B$7:G$119,5,FALSE),"TBD"),"")</f>
        <v>0</v>
      </c>
      <c r="H23" s="4">
        <f>_xlfn.IFERROR(IF(B23&gt;0,VLOOKUP(B23,'Robot Performance Analysis'!B$7:G$119,6,FALSE),"TBD"),"")</f>
        <v>0</v>
      </c>
      <c r="I23" s="4">
        <f t="shared" si="0"/>
        <v>0</v>
      </c>
      <c r="J23" s="4">
        <f t="shared" si="1"/>
        <v>0</v>
      </c>
      <c r="K23" s="4">
        <f t="shared" si="2"/>
      </c>
      <c r="L23" s="6">
        <f t="shared" si="3"/>
      </c>
      <c r="M23" s="9">
        <f t="shared" si="4"/>
      </c>
      <c r="N23" s="6"/>
      <c r="O23" s="6"/>
      <c r="P23" s="6"/>
      <c r="Q23" s="5">
        <f t="shared" si="5"/>
      </c>
      <c r="R23" s="50">
        <f t="shared" si="6"/>
        <v>9999</v>
      </c>
      <c r="S23" s="6">
        <f t="shared" si="7"/>
      </c>
      <c r="T23" s="57"/>
      <c r="U23" s="6">
        <f t="shared" si="8"/>
      </c>
      <c r="V23" s="57"/>
      <c r="W23" s="8"/>
      <c r="X23" s="7">
        <f t="shared" si="9"/>
      </c>
    </row>
    <row r="24" spans="2:24" ht="24.75" customHeight="1">
      <c r="B24" s="7">
        <f>_xlfn.IFERROR(IF(ISBLANK('Team Information Input'!A17),"",'Team Information Input'!A17),"")</f>
      </c>
      <c r="C24" s="3">
        <f>_xlfn.IFERROR(IF(ISBLANK('Team Information Input'!B17),"",'Team Information Input'!B17),"")</f>
      </c>
      <c r="D24" s="3">
        <f>'Team Information Input'!D17</f>
        <v>0</v>
      </c>
      <c r="E24" s="4">
        <f>_xlfn.IFERROR(I24+J24*10000+K24*100000000,_xlfn.IFERROR(I24*10000+#REF!*100000000,_xlfn.IFERROR(#REF!*100000000,"")))</f>
      </c>
      <c r="F24" s="4">
        <f>_xlfn.IFERROR(IF(B24&gt;0,VLOOKUP(B24,'Robot Performance Analysis'!B$7:G$119,4,FALSE),"TBD"),"")</f>
        <v>0</v>
      </c>
      <c r="G24" s="4">
        <f>_xlfn.IFERROR(IF(B24&gt;0,VLOOKUP(B24,'Robot Performance Analysis'!B$7:G$119,5,FALSE),"TBD"),"")</f>
        <v>0</v>
      </c>
      <c r="H24" s="4">
        <f>_xlfn.IFERROR(IF(B24&gt;0,VLOOKUP(B24,'Robot Performance Analysis'!B$7:G$119,6,FALSE),"TBD"),"")</f>
        <v>0</v>
      </c>
      <c r="I24" s="4">
        <f t="shared" si="0"/>
        <v>0</v>
      </c>
      <c r="J24" s="4">
        <f t="shared" si="1"/>
        <v>0</v>
      </c>
      <c r="K24" s="4">
        <f t="shared" si="2"/>
      </c>
      <c r="L24" s="6">
        <f t="shared" si="3"/>
      </c>
      <c r="M24" s="9">
        <f t="shared" si="4"/>
      </c>
      <c r="N24" s="6"/>
      <c r="O24" s="6"/>
      <c r="P24" s="6"/>
      <c r="Q24" s="5">
        <f t="shared" si="5"/>
      </c>
      <c r="R24" s="50">
        <f t="shared" si="6"/>
        <v>9999</v>
      </c>
      <c r="S24" s="6">
        <f t="shared" si="7"/>
      </c>
      <c r="T24" s="57"/>
      <c r="U24" s="6">
        <f t="shared" si="8"/>
      </c>
      <c r="V24" s="57"/>
      <c r="W24" s="8"/>
      <c r="X24" s="7">
        <f t="shared" si="9"/>
      </c>
    </row>
    <row r="25" spans="2:24" ht="24.75" customHeight="1">
      <c r="B25" s="7">
        <f>_xlfn.IFERROR(IF(ISBLANK('Team Information Input'!A18),"",'Team Information Input'!A18),"")</f>
      </c>
      <c r="C25" s="3">
        <f>_xlfn.IFERROR(IF(ISBLANK('Team Information Input'!B18),"",'Team Information Input'!B18),"")</f>
      </c>
      <c r="D25" s="3">
        <f>'Team Information Input'!D18</f>
        <v>0</v>
      </c>
      <c r="E25" s="4">
        <f>_xlfn.IFERROR(I25+J25*10000+K25*100000000,_xlfn.IFERROR(I25*10000+#REF!*100000000,_xlfn.IFERROR(#REF!*100000000,"")))</f>
      </c>
      <c r="F25" s="4">
        <f>_xlfn.IFERROR(IF(B25&gt;0,VLOOKUP(B25,'Robot Performance Analysis'!B$7:G$119,4,FALSE),"TBD"),"")</f>
        <v>0</v>
      </c>
      <c r="G25" s="4">
        <f>_xlfn.IFERROR(IF(B25&gt;0,VLOOKUP(B25,'Robot Performance Analysis'!B$7:G$119,5,FALSE),"TBD"),"")</f>
        <v>0</v>
      </c>
      <c r="H25" s="4">
        <f>_xlfn.IFERROR(IF(B25&gt;0,VLOOKUP(B25,'Robot Performance Analysis'!B$7:G$119,6,FALSE),"TBD"),"")</f>
        <v>0</v>
      </c>
      <c r="I25" s="4">
        <f t="shared" si="0"/>
        <v>0</v>
      </c>
      <c r="J25" s="4">
        <f t="shared" si="1"/>
        <v>0</v>
      </c>
      <c r="K25" s="4">
        <f t="shared" si="2"/>
      </c>
      <c r="L25" s="6">
        <f t="shared" si="3"/>
      </c>
      <c r="M25" s="9">
        <f t="shared" si="4"/>
      </c>
      <c r="N25" s="6"/>
      <c r="O25" s="6"/>
      <c r="P25" s="6"/>
      <c r="Q25" s="5">
        <f t="shared" si="5"/>
      </c>
      <c r="R25" s="50">
        <f t="shared" si="6"/>
        <v>9999</v>
      </c>
      <c r="S25" s="6">
        <f t="shared" si="7"/>
      </c>
      <c r="T25" s="57"/>
      <c r="U25" s="6">
        <f t="shared" si="8"/>
      </c>
      <c r="V25" s="57"/>
      <c r="W25" s="8"/>
      <c r="X25" s="7">
        <f t="shared" si="9"/>
      </c>
    </row>
    <row r="26" spans="2:24" ht="24.75" customHeight="1">
      <c r="B26" s="7">
        <f>_xlfn.IFERROR(IF(ISBLANK('Team Information Input'!A19),"",'Team Information Input'!A19),"")</f>
      </c>
      <c r="C26" s="3">
        <f>_xlfn.IFERROR(IF(ISBLANK('Team Information Input'!B19),"",'Team Information Input'!B19),"")</f>
      </c>
      <c r="D26" s="3">
        <f>'Team Information Input'!D19</f>
        <v>0</v>
      </c>
      <c r="E26" s="4">
        <f>_xlfn.IFERROR(I26+J26*10000+K26*100000000,_xlfn.IFERROR(I26*10000+#REF!*100000000,_xlfn.IFERROR(#REF!*100000000,"")))</f>
      </c>
      <c r="F26" s="4">
        <f>_xlfn.IFERROR(IF(B26&gt;0,VLOOKUP(B26,'Robot Performance Analysis'!B$7:G$119,4,FALSE),"TBD"),"")</f>
        <v>0</v>
      </c>
      <c r="G26" s="4">
        <f>_xlfn.IFERROR(IF(B26&gt;0,VLOOKUP(B26,'Robot Performance Analysis'!B$7:G$119,5,FALSE),"TBD"),"")</f>
        <v>0</v>
      </c>
      <c r="H26" s="4">
        <f>_xlfn.IFERROR(IF(B26&gt;0,VLOOKUP(B26,'Robot Performance Analysis'!B$7:G$119,6,FALSE),"TBD"),"")</f>
        <v>0</v>
      </c>
      <c r="I26" s="4">
        <f t="shared" si="0"/>
        <v>0</v>
      </c>
      <c r="J26" s="4">
        <f t="shared" si="1"/>
        <v>0</v>
      </c>
      <c r="K26" s="4">
        <f t="shared" si="2"/>
      </c>
      <c r="L26" s="6">
        <f t="shared" si="3"/>
      </c>
      <c r="M26" s="9">
        <f t="shared" si="4"/>
      </c>
      <c r="N26" s="6"/>
      <c r="O26" s="6"/>
      <c r="P26" s="6"/>
      <c r="Q26" s="5">
        <f t="shared" si="5"/>
      </c>
      <c r="R26" s="50">
        <f t="shared" si="6"/>
        <v>9999</v>
      </c>
      <c r="S26" s="6">
        <f t="shared" si="7"/>
      </c>
      <c r="T26" s="57"/>
      <c r="U26" s="6">
        <f t="shared" si="8"/>
      </c>
      <c r="V26" s="57"/>
      <c r="W26" s="8"/>
      <c r="X26" s="7">
        <f t="shared" si="9"/>
      </c>
    </row>
    <row r="27" spans="2:24" ht="24.75" customHeight="1">
      <c r="B27" s="7">
        <f>_xlfn.IFERROR(IF(ISBLANK('Team Information Input'!A20),"",'Team Information Input'!A20),"")</f>
      </c>
      <c r="C27" s="3">
        <f>_xlfn.IFERROR(IF(ISBLANK('Team Information Input'!B20),"",'Team Information Input'!B20),"")</f>
      </c>
      <c r="D27" s="3">
        <f>'Team Information Input'!D20</f>
        <v>0</v>
      </c>
      <c r="E27" s="4">
        <f>_xlfn.IFERROR(I27+J27*10000+K27*100000000,_xlfn.IFERROR(I27*10000+#REF!*100000000,_xlfn.IFERROR(#REF!*100000000,"")))</f>
      </c>
      <c r="F27" s="4">
        <f>_xlfn.IFERROR(IF(B27&gt;0,VLOOKUP(B27,'Robot Performance Analysis'!B$7:G$119,4,FALSE),"TBD"),"")</f>
        <v>0</v>
      </c>
      <c r="G27" s="4">
        <f>_xlfn.IFERROR(IF(B27&gt;0,VLOOKUP(B27,'Robot Performance Analysis'!B$7:G$119,5,FALSE),"TBD"),"")</f>
        <v>0</v>
      </c>
      <c r="H27" s="4">
        <f>_xlfn.IFERROR(IF(B27&gt;0,VLOOKUP(B27,'Robot Performance Analysis'!B$7:G$119,6,FALSE),"TBD"),"")</f>
        <v>0</v>
      </c>
      <c r="I27" s="4">
        <f t="shared" si="0"/>
        <v>0</v>
      </c>
      <c r="J27" s="4">
        <f t="shared" si="1"/>
        <v>0</v>
      </c>
      <c r="K27" s="4">
        <f t="shared" si="2"/>
      </c>
      <c r="L27" s="6">
        <f t="shared" si="3"/>
      </c>
      <c r="M27" s="9">
        <f t="shared" si="4"/>
      </c>
      <c r="N27" s="6"/>
      <c r="O27" s="6"/>
      <c r="P27" s="6"/>
      <c r="Q27" s="5">
        <f t="shared" si="5"/>
      </c>
      <c r="R27" s="50">
        <f t="shared" si="6"/>
        <v>9999</v>
      </c>
      <c r="S27" s="6">
        <f t="shared" si="7"/>
      </c>
      <c r="T27" s="57"/>
      <c r="U27" s="6">
        <f t="shared" si="8"/>
      </c>
      <c r="V27" s="57"/>
      <c r="W27" s="8"/>
      <c r="X27" s="7">
        <f t="shared" si="9"/>
      </c>
    </row>
    <row r="28" spans="2:24" ht="24.75" customHeight="1">
      <c r="B28" s="7">
        <f>_xlfn.IFERROR(IF(ISBLANK('Team Information Input'!A21),"",'Team Information Input'!A21),"")</f>
      </c>
      <c r="C28" s="3">
        <f>_xlfn.IFERROR(IF(ISBLANK('Team Information Input'!B21),"",'Team Information Input'!B21),"")</f>
      </c>
      <c r="D28" s="3">
        <f>'Team Information Input'!D21</f>
        <v>0</v>
      </c>
      <c r="E28" s="4">
        <f>_xlfn.IFERROR(I28+J28*10000+K28*100000000,_xlfn.IFERROR(I28*10000+#REF!*100000000,_xlfn.IFERROR(#REF!*100000000,"")))</f>
      </c>
      <c r="F28" s="4">
        <f>_xlfn.IFERROR(IF(B28&gt;0,VLOOKUP(B28,'Robot Performance Analysis'!B$7:G$119,4,FALSE),"TBD"),"")</f>
        <v>0</v>
      </c>
      <c r="G28" s="4">
        <f>_xlfn.IFERROR(IF(B28&gt;0,VLOOKUP(B28,'Robot Performance Analysis'!B$7:G$119,5,FALSE),"TBD"),"")</f>
        <v>0</v>
      </c>
      <c r="H28" s="4">
        <f>_xlfn.IFERROR(IF(B28&gt;0,VLOOKUP(B28,'Robot Performance Analysis'!B$7:G$119,6,FALSE),"TBD"),"")</f>
        <v>0</v>
      </c>
      <c r="I28" s="4">
        <f t="shared" si="0"/>
        <v>0</v>
      </c>
      <c r="J28" s="4">
        <f t="shared" si="1"/>
        <v>0</v>
      </c>
      <c r="K28" s="4">
        <f t="shared" si="2"/>
      </c>
      <c r="L28" s="6">
        <f t="shared" si="3"/>
      </c>
      <c r="M28" s="9">
        <f t="shared" si="4"/>
      </c>
      <c r="N28" s="6"/>
      <c r="O28" s="6"/>
      <c r="P28" s="6"/>
      <c r="Q28" s="5">
        <f t="shared" si="5"/>
      </c>
      <c r="R28" s="50">
        <f t="shared" si="6"/>
        <v>9999</v>
      </c>
      <c r="S28" s="6">
        <f t="shared" si="7"/>
      </c>
      <c r="T28" s="57"/>
      <c r="U28" s="6">
        <f t="shared" si="8"/>
      </c>
      <c r="V28" s="57"/>
      <c r="W28" s="8"/>
      <c r="X28" s="7">
        <f t="shared" si="9"/>
      </c>
    </row>
    <row r="29" spans="2:24" ht="24.75" customHeight="1">
      <c r="B29" s="7">
        <f>_xlfn.IFERROR(IF(ISBLANK('Team Information Input'!A22),"",'Team Information Input'!A22),"")</f>
      </c>
      <c r="C29" s="3">
        <f>_xlfn.IFERROR(IF(ISBLANK('Team Information Input'!B22),"",'Team Information Input'!B22),"")</f>
      </c>
      <c r="D29" s="3">
        <f>'Team Information Input'!D22</f>
        <v>0</v>
      </c>
      <c r="E29" s="4">
        <f>_xlfn.IFERROR(I29+J29*10000+K29*100000000,_xlfn.IFERROR(I29*10000+#REF!*100000000,_xlfn.IFERROR(#REF!*100000000,"")))</f>
      </c>
      <c r="F29" s="4">
        <f>_xlfn.IFERROR(IF(B29&gt;0,VLOOKUP(B29,'Robot Performance Analysis'!B$7:G$119,4,FALSE),"TBD"),"")</f>
        <v>0</v>
      </c>
      <c r="G29" s="4">
        <f>_xlfn.IFERROR(IF(B29&gt;0,VLOOKUP(B29,'Robot Performance Analysis'!B$7:G$119,5,FALSE),"TBD"),"")</f>
        <v>0</v>
      </c>
      <c r="H29" s="4">
        <f>_xlfn.IFERROR(IF(B29&gt;0,VLOOKUP(B29,'Robot Performance Analysis'!B$7:G$119,6,FALSE),"TBD"),"")</f>
        <v>0</v>
      </c>
      <c r="I29" s="4">
        <f t="shared" si="0"/>
        <v>0</v>
      </c>
      <c r="J29" s="4">
        <f t="shared" si="1"/>
        <v>0</v>
      </c>
      <c r="K29" s="4">
        <f t="shared" si="2"/>
      </c>
      <c r="L29" s="6">
        <f t="shared" si="3"/>
      </c>
      <c r="M29" s="9">
        <f t="shared" si="4"/>
      </c>
      <c r="N29" s="6"/>
      <c r="O29" s="6"/>
      <c r="P29" s="6"/>
      <c r="Q29" s="5">
        <f t="shared" si="5"/>
      </c>
      <c r="R29" s="50">
        <f t="shared" si="6"/>
        <v>9999</v>
      </c>
      <c r="S29" s="6">
        <f t="shared" si="7"/>
      </c>
      <c r="T29" s="57"/>
      <c r="U29" s="6">
        <f t="shared" si="8"/>
      </c>
      <c r="V29" s="57"/>
      <c r="W29" s="8"/>
      <c r="X29" s="7">
        <f t="shared" si="9"/>
      </c>
    </row>
    <row r="30" spans="2:24" ht="24.75" customHeight="1">
      <c r="B30" s="7">
        <f>_xlfn.IFERROR(IF(ISBLANK('Team Information Input'!A23),"",'Team Information Input'!A23),"")</f>
      </c>
      <c r="C30" s="3">
        <f>_xlfn.IFERROR(IF(ISBLANK('Team Information Input'!B23),"",'Team Information Input'!B23),"")</f>
      </c>
      <c r="D30" s="3">
        <f>'Team Information Input'!D23</f>
        <v>0</v>
      </c>
      <c r="E30" s="4">
        <f>_xlfn.IFERROR(I30+J30*10000+K30*100000000,_xlfn.IFERROR(I30*10000+#REF!*100000000,_xlfn.IFERROR(#REF!*100000000,"")))</f>
      </c>
      <c r="F30" s="4">
        <f>_xlfn.IFERROR(IF(B30&gt;0,VLOOKUP(B30,'Robot Performance Analysis'!B$7:G$119,4,FALSE),"TBD"),"")</f>
        <v>0</v>
      </c>
      <c r="G30" s="4">
        <f>_xlfn.IFERROR(IF(B30&gt;0,VLOOKUP(B30,'Robot Performance Analysis'!B$7:G$119,5,FALSE),"TBD"),"")</f>
        <v>0</v>
      </c>
      <c r="H30" s="4">
        <f>_xlfn.IFERROR(IF(B30&gt;0,VLOOKUP(B30,'Robot Performance Analysis'!B$7:G$119,6,FALSE),"TBD"),"")</f>
        <v>0</v>
      </c>
      <c r="I30" s="4">
        <f t="shared" si="0"/>
        <v>0</v>
      </c>
      <c r="J30" s="4">
        <f t="shared" si="1"/>
        <v>0</v>
      </c>
      <c r="K30" s="4">
        <f t="shared" si="2"/>
      </c>
      <c r="L30" s="6">
        <f t="shared" si="3"/>
      </c>
      <c r="M30" s="9">
        <f t="shared" si="4"/>
      </c>
      <c r="N30" s="6"/>
      <c r="O30" s="6"/>
      <c r="P30" s="6"/>
      <c r="Q30" s="5">
        <f t="shared" si="5"/>
      </c>
      <c r="R30" s="50">
        <f t="shared" si="6"/>
        <v>9999</v>
      </c>
      <c r="S30" s="6">
        <f t="shared" si="7"/>
      </c>
      <c r="T30" s="57"/>
      <c r="U30" s="6">
        <f t="shared" si="8"/>
      </c>
      <c r="V30" s="57"/>
      <c r="W30" s="8"/>
      <c r="X30" s="7">
        <f t="shared" si="9"/>
      </c>
    </row>
    <row r="31" spans="2:24" ht="24.75" customHeight="1">
      <c r="B31" s="7">
        <f>_xlfn.IFERROR(IF(ISBLANK('Team Information Input'!A24),"",'Team Information Input'!A24),"")</f>
      </c>
      <c r="C31" s="3">
        <f>_xlfn.IFERROR(IF(ISBLANK('Team Information Input'!B24),"",'Team Information Input'!B24),"")</f>
      </c>
      <c r="D31" s="3">
        <f>'Team Information Input'!D24</f>
        <v>0</v>
      </c>
      <c r="E31" s="4">
        <f>_xlfn.IFERROR(I31+J31*10000+K31*100000000,_xlfn.IFERROR(I31*10000+#REF!*100000000,_xlfn.IFERROR(#REF!*100000000,"")))</f>
      </c>
      <c r="F31" s="4">
        <f>_xlfn.IFERROR(IF(B31&gt;0,VLOOKUP(B31,'Robot Performance Analysis'!B$7:G$119,4,FALSE),"TBD"),"")</f>
        <v>0</v>
      </c>
      <c r="G31" s="4">
        <f>_xlfn.IFERROR(IF(B31&gt;0,VLOOKUP(B31,'Robot Performance Analysis'!B$7:G$119,5,FALSE),"TBD"),"")</f>
        <v>0</v>
      </c>
      <c r="H31" s="4">
        <f>_xlfn.IFERROR(IF(B31&gt;0,VLOOKUP(B31,'Robot Performance Analysis'!B$7:G$119,6,FALSE),"TBD"),"")</f>
        <v>0</v>
      </c>
      <c r="I31" s="4">
        <f t="shared" si="0"/>
        <v>0</v>
      </c>
      <c r="J31" s="4">
        <f t="shared" si="1"/>
        <v>0</v>
      </c>
      <c r="K31" s="4">
        <f t="shared" si="2"/>
      </c>
      <c r="L31" s="6">
        <f t="shared" si="3"/>
      </c>
      <c r="M31" s="9">
        <f t="shared" si="4"/>
      </c>
      <c r="N31" s="6"/>
      <c r="O31" s="6"/>
      <c r="P31" s="6"/>
      <c r="Q31" s="5">
        <f t="shared" si="5"/>
      </c>
      <c r="R31" s="50">
        <f t="shared" si="6"/>
        <v>9999</v>
      </c>
      <c r="S31" s="6">
        <f t="shared" si="7"/>
      </c>
      <c r="T31" s="57"/>
      <c r="U31" s="6">
        <f t="shared" si="8"/>
      </c>
      <c r="V31" s="57"/>
      <c r="W31" s="8"/>
      <c r="X31" s="7">
        <f t="shared" si="9"/>
      </c>
    </row>
    <row r="32" spans="2:24" ht="24.75" customHeight="1">
      <c r="B32" s="7">
        <f>_xlfn.IFERROR(IF(ISBLANK('Team Information Input'!A25),"",'Team Information Input'!A25),"")</f>
      </c>
      <c r="C32" s="3">
        <f>_xlfn.IFERROR(IF(ISBLANK('Team Information Input'!B25),"",'Team Information Input'!B25),"")</f>
      </c>
      <c r="D32" s="3">
        <f>'Team Information Input'!D25</f>
        <v>0</v>
      </c>
      <c r="E32" s="4">
        <f>_xlfn.IFERROR(I32+J32*10000+K32*100000000,_xlfn.IFERROR(I32*10000+#REF!*100000000,_xlfn.IFERROR(#REF!*100000000,"")))</f>
      </c>
      <c r="F32" s="4">
        <f>_xlfn.IFERROR(IF(B32&gt;0,VLOOKUP(B32,'Robot Performance Analysis'!B$7:G$119,4,FALSE),"TBD"),"")</f>
        <v>0</v>
      </c>
      <c r="G32" s="4">
        <f>_xlfn.IFERROR(IF(B32&gt;0,VLOOKUP(B32,'Robot Performance Analysis'!B$7:G$119,5,FALSE),"TBD"),"")</f>
        <v>0</v>
      </c>
      <c r="H32" s="4">
        <f>_xlfn.IFERROR(IF(B32&gt;0,VLOOKUP(B32,'Robot Performance Analysis'!B$7:G$119,6,FALSE),"TBD"),"")</f>
        <v>0</v>
      </c>
      <c r="I32" s="4">
        <f t="shared" si="0"/>
        <v>0</v>
      </c>
      <c r="J32" s="4">
        <f t="shared" si="1"/>
        <v>0</v>
      </c>
      <c r="K32" s="4">
        <f t="shared" si="2"/>
      </c>
      <c r="L32" s="6">
        <f t="shared" si="3"/>
      </c>
      <c r="M32" s="9">
        <f t="shared" si="4"/>
      </c>
      <c r="N32" s="6"/>
      <c r="O32" s="6"/>
      <c r="P32" s="6"/>
      <c r="Q32" s="5">
        <f t="shared" si="5"/>
      </c>
      <c r="R32" s="50">
        <f t="shared" si="6"/>
        <v>9999</v>
      </c>
      <c r="S32" s="6">
        <f t="shared" si="7"/>
      </c>
      <c r="T32" s="57"/>
      <c r="U32" s="6">
        <f t="shared" si="8"/>
      </c>
      <c r="V32" s="57"/>
      <c r="W32" s="8"/>
      <c r="X32" s="7">
        <f t="shared" si="9"/>
      </c>
    </row>
    <row r="33" spans="2:24" ht="24.75" customHeight="1">
      <c r="B33" s="7">
        <f>_xlfn.IFERROR(IF(ISBLANK('Team Information Input'!A26),"",'Team Information Input'!A26),"")</f>
      </c>
      <c r="C33" s="3">
        <f>_xlfn.IFERROR(IF(ISBLANK('Team Information Input'!B26),"",'Team Information Input'!B26),"")</f>
      </c>
      <c r="D33" s="3">
        <f>'Team Information Input'!D26</f>
        <v>0</v>
      </c>
      <c r="E33" s="4">
        <f>_xlfn.IFERROR(I33+J33*10000+K33*100000000,_xlfn.IFERROR(I33*10000+#REF!*100000000,_xlfn.IFERROR(#REF!*100000000,"")))</f>
      </c>
      <c r="F33" s="4">
        <f>_xlfn.IFERROR(IF(B33&gt;0,VLOOKUP(B33,'Robot Performance Analysis'!B$7:G$119,4,FALSE),"TBD"),"")</f>
        <v>0</v>
      </c>
      <c r="G33" s="4">
        <f>_xlfn.IFERROR(IF(B33&gt;0,VLOOKUP(B33,'Robot Performance Analysis'!B$7:G$119,5,FALSE),"TBD"),"")</f>
        <v>0</v>
      </c>
      <c r="H33" s="4">
        <f>_xlfn.IFERROR(IF(B33&gt;0,VLOOKUP(B33,'Robot Performance Analysis'!B$7:G$119,6,FALSE),"TBD"),"")</f>
        <v>0</v>
      </c>
      <c r="I33" s="4">
        <f t="shared" si="0"/>
        <v>0</v>
      </c>
      <c r="J33" s="4">
        <f t="shared" si="1"/>
        <v>0</v>
      </c>
      <c r="K33" s="4">
        <f t="shared" si="2"/>
      </c>
      <c r="L33" s="6">
        <f t="shared" si="3"/>
      </c>
      <c r="M33" s="9">
        <f t="shared" si="4"/>
      </c>
      <c r="N33" s="6"/>
      <c r="O33" s="6"/>
      <c r="P33" s="6"/>
      <c r="Q33" s="5">
        <f t="shared" si="5"/>
      </c>
      <c r="R33" s="50">
        <f t="shared" si="6"/>
        <v>9999</v>
      </c>
      <c r="S33" s="6">
        <f t="shared" si="7"/>
      </c>
      <c r="T33" s="57"/>
      <c r="U33" s="6">
        <f t="shared" si="8"/>
      </c>
      <c r="V33" s="57"/>
      <c r="W33" s="8"/>
      <c r="X33" s="7">
        <f t="shared" si="9"/>
      </c>
    </row>
    <row r="34" spans="2:24" ht="24.75" customHeight="1">
      <c r="B34" s="7">
        <f>_xlfn.IFERROR(IF(ISBLANK('Team Information Input'!A27),"",'Team Information Input'!A27),"")</f>
      </c>
      <c r="C34" s="3">
        <f>_xlfn.IFERROR(IF(ISBLANK('Team Information Input'!B27),"",'Team Information Input'!B27),"")</f>
      </c>
      <c r="D34" s="3">
        <f>'Team Information Input'!D27</f>
        <v>0</v>
      </c>
      <c r="E34" s="4">
        <f>_xlfn.IFERROR(I34+J34*10000+K34*100000000,_xlfn.IFERROR(I34*10000+#REF!*100000000,_xlfn.IFERROR(#REF!*100000000,"")))</f>
      </c>
      <c r="F34" s="4">
        <f>_xlfn.IFERROR(IF(B34&gt;0,VLOOKUP(B34,'Robot Performance Analysis'!B$7:G$119,4,FALSE),"TBD"),"")</f>
        <v>0</v>
      </c>
      <c r="G34" s="4">
        <f>_xlfn.IFERROR(IF(B34&gt;0,VLOOKUP(B34,'Robot Performance Analysis'!B$7:G$119,5,FALSE),"TBD"),"")</f>
        <v>0</v>
      </c>
      <c r="H34" s="4">
        <f>_xlfn.IFERROR(IF(B34&gt;0,VLOOKUP(B34,'Robot Performance Analysis'!B$7:G$119,6,FALSE),"TBD"),"")</f>
        <v>0</v>
      </c>
      <c r="I34" s="4">
        <f t="shared" si="0"/>
        <v>0</v>
      </c>
      <c r="J34" s="4">
        <f t="shared" si="1"/>
        <v>0</v>
      </c>
      <c r="K34" s="4">
        <f t="shared" si="2"/>
      </c>
      <c r="L34" s="6">
        <f t="shared" si="3"/>
      </c>
      <c r="M34" s="9">
        <f t="shared" si="4"/>
      </c>
      <c r="N34" s="6"/>
      <c r="O34" s="6"/>
      <c r="P34" s="6"/>
      <c r="Q34" s="5">
        <f t="shared" si="5"/>
      </c>
      <c r="R34" s="50">
        <f t="shared" si="6"/>
        <v>9999</v>
      </c>
      <c r="S34" s="6">
        <f t="shared" si="7"/>
      </c>
      <c r="T34" s="57"/>
      <c r="U34" s="6">
        <f t="shared" si="8"/>
      </c>
      <c r="V34" s="57"/>
      <c r="W34" s="8"/>
      <c r="X34" s="7">
        <f t="shared" si="9"/>
      </c>
    </row>
    <row r="35" spans="2:24" ht="24.75" customHeight="1">
      <c r="B35" s="7">
        <f>_xlfn.IFERROR(IF(ISBLANK('Team Information Input'!A28),"",'Team Information Input'!A28),"")</f>
      </c>
      <c r="C35" s="3">
        <f>_xlfn.IFERROR(IF(ISBLANK('Team Information Input'!B28),"",'Team Information Input'!B28),"")</f>
      </c>
      <c r="D35" s="3">
        <f>'Team Information Input'!D28</f>
        <v>0</v>
      </c>
      <c r="E35" s="4">
        <f>_xlfn.IFERROR(I35+J35*10000+K35*100000000,_xlfn.IFERROR(I35*10000+#REF!*100000000,_xlfn.IFERROR(#REF!*100000000,"")))</f>
      </c>
      <c r="F35" s="4">
        <f>_xlfn.IFERROR(IF(B35&gt;0,VLOOKUP(B35,'Robot Performance Analysis'!B$7:G$119,4,FALSE),"TBD"),"")</f>
        <v>0</v>
      </c>
      <c r="G35" s="4">
        <f>_xlfn.IFERROR(IF(B35&gt;0,VLOOKUP(B35,'Robot Performance Analysis'!B$7:G$119,5,FALSE),"TBD"),"")</f>
        <v>0</v>
      </c>
      <c r="H35" s="4">
        <f>_xlfn.IFERROR(IF(B35&gt;0,VLOOKUP(B35,'Robot Performance Analysis'!B$7:G$119,6,FALSE),"TBD"),"")</f>
        <v>0</v>
      </c>
      <c r="I35" s="4">
        <f t="shared" si="0"/>
        <v>0</v>
      </c>
      <c r="J35" s="4">
        <f t="shared" si="1"/>
        <v>0</v>
      </c>
      <c r="K35" s="4">
        <f t="shared" si="2"/>
      </c>
      <c r="L35" s="6">
        <f t="shared" si="3"/>
      </c>
      <c r="M35" s="9">
        <f t="shared" si="4"/>
      </c>
      <c r="N35" s="6"/>
      <c r="O35" s="6"/>
      <c r="P35" s="6"/>
      <c r="Q35" s="5">
        <f t="shared" si="5"/>
      </c>
      <c r="R35" s="50">
        <f t="shared" si="6"/>
        <v>9999</v>
      </c>
      <c r="S35" s="6">
        <f t="shared" si="7"/>
      </c>
      <c r="T35" s="57"/>
      <c r="U35" s="6">
        <f t="shared" si="8"/>
      </c>
      <c r="V35" s="57"/>
      <c r="W35" s="8"/>
      <c r="X35" s="7">
        <f t="shared" si="9"/>
      </c>
    </row>
    <row r="36" spans="2:24" ht="24.75" customHeight="1">
      <c r="B36" s="7">
        <f>_xlfn.IFERROR(IF(ISBLANK('Team Information Input'!A29),"",'Team Information Input'!A29),"")</f>
      </c>
      <c r="C36" s="3">
        <f>_xlfn.IFERROR(IF(ISBLANK('Team Information Input'!B29),"",'Team Information Input'!B29),"")</f>
      </c>
      <c r="D36" s="3">
        <f>'Team Information Input'!D29</f>
        <v>0</v>
      </c>
      <c r="E36" s="4">
        <f>_xlfn.IFERROR(I36+J36*10000+K36*100000000,_xlfn.IFERROR(I36*10000+#REF!*100000000,_xlfn.IFERROR(#REF!*100000000,"")))</f>
      </c>
      <c r="F36" s="4">
        <f>_xlfn.IFERROR(IF(B36&gt;0,VLOOKUP(B36,'Robot Performance Analysis'!B$7:G$119,4,FALSE),"TBD"),"")</f>
        <v>0</v>
      </c>
      <c r="G36" s="4">
        <f>_xlfn.IFERROR(IF(B36&gt;0,VLOOKUP(B36,'Robot Performance Analysis'!B$7:G$119,5,FALSE),"TBD"),"")</f>
        <v>0</v>
      </c>
      <c r="H36" s="4">
        <f>_xlfn.IFERROR(IF(B36&gt;0,VLOOKUP(B36,'Robot Performance Analysis'!B$7:G$119,6,FALSE),"TBD"),"")</f>
        <v>0</v>
      </c>
      <c r="I36" s="4">
        <f t="shared" si="0"/>
        <v>0</v>
      </c>
      <c r="J36" s="4">
        <f t="shared" si="1"/>
        <v>0</v>
      </c>
      <c r="K36" s="4">
        <f t="shared" si="2"/>
      </c>
      <c r="L36" s="6">
        <f t="shared" si="3"/>
      </c>
      <c r="M36" s="9">
        <f t="shared" si="4"/>
      </c>
      <c r="N36" s="6"/>
      <c r="O36" s="6"/>
      <c r="P36" s="6"/>
      <c r="Q36" s="5">
        <f t="shared" si="5"/>
      </c>
      <c r="R36" s="50">
        <f t="shared" si="6"/>
        <v>9999</v>
      </c>
      <c r="S36" s="6">
        <f t="shared" si="7"/>
      </c>
      <c r="T36" s="57"/>
      <c r="U36" s="6">
        <f t="shared" si="8"/>
      </c>
      <c r="V36" s="57"/>
      <c r="W36" s="8"/>
      <c r="X36" s="7">
        <f t="shared" si="9"/>
      </c>
    </row>
    <row r="37" spans="2:24" ht="24.75" customHeight="1">
      <c r="B37" s="7">
        <f>_xlfn.IFERROR(IF(ISBLANK('Team Information Input'!A30),"",'Team Information Input'!A30),"")</f>
      </c>
      <c r="C37" s="3">
        <f>_xlfn.IFERROR(IF(ISBLANK('Team Information Input'!B30),"",'Team Information Input'!B30),"")</f>
      </c>
      <c r="D37" s="3">
        <f>'Team Information Input'!D30</f>
        <v>0</v>
      </c>
      <c r="E37" s="4">
        <f>_xlfn.IFERROR(I37+J37*10000+K37*100000000,_xlfn.IFERROR(I37*10000+#REF!*100000000,_xlfn.IFERROR(#REF!*100000000,"")))</f>
      </c>
      <c r="F37" s="4">
        <f>_xlfn.IFERROR(IF(B37&gt;0,VLOOKUP(B37,'Robot Performance Analysis'!B$7:G$119,4,FALSE),"TBD"),"")</f>
        <v>0</v>
      </c>
      <c r="G37" s="4">
        <f>_xlfn.IFERROR(IF(B37&gt;0,VLOOKUP(B37,'Robot Performance Analysis'!B$7:G$119,5,FALSE),"TBD"),"")</f>
        <v>0</v>
      </c>
      <c r="H37" s="4">
        <f>_xlfn.IFERROR(IF(B37&gt;0,VLOOKUP(B37,'Robot Performance Analysis'!B$7:G$119,6,FALSE),"TBD"),"")</f>
        <v>0</v>
      </c>
      <c r="I37" s="4">
        <f t="shared" si="0"/>
        <v>0</v>
      </c>
      <c r="J37" s="4">
        <f t="shared" si="1"/>
        <v>0</v>
      </c>
      <c r="K37" s="4">
        <f t="shared" si="2"/>
      </c>
      <c r="L37" s="6">
        <f t="shared" si="3"/>
      </c>
      <c r="M37" s="9">
        <f t="shared" si="4"/>
      </c>
      <c r="N37" s="6"/>
      <c r="O37" s="6"/>
      <c r="P37" s="6"/>
      <c r="Q37" s="5">
        <f t="shared" si="5"/>
      </c>
      <c r="R37" s="50">
        <f t="shared" si="6"/>
        <v>9999</v>
      </c>
      <c r="S37" s="6">
        <f t="shared" si="7"/>
      </c>
      <c r="T37" s="57"/>
      <c r="U37" s="6">
        <f t="shared" si="8"/>
      </c>
      <c r="V37" s="57"/>
      <c r="W37" s="8"/>
      <c r="X37" s="7">
        <f t="shared" si="9"/>
      </c>
    </row>
    <row r="38" spans="2:24" ht="24.75" customHeight="1">
      <c r="B38" s="7">
        <f>_xlfn.IFERROR(IF(ISBLANK('Team Information Input'!A31),"",'Team Information Input'!A31),"")</f>
      </c>
      <c r="C38" s="3">
        <f>_xlfn.IFERROR(IF(ISBLANK('Team Information Input'!B31),"",'Team Information Input'!B31),"")</f>
      </c>
      <c r="D38" s="3">
        <f>'Team Information Input'!D31</f>
        <v>0</v>
      </c>
      <c r="E38" s="4">
        <f>_xlfn.IFERROR(I38+J38*10000+K38*100000000,_xlfn.IFERROR(I38*10000+#REF!*100000000,_xlfn.IFERROR(#REF!*100000000,"")))</f>
      </c>
      <c r="F38" s="4">
        <f>_xlfn.IFERROR(IF(B38&gt;0,VLOOKUP(B38,'Robot Performance Analysis'!B$7:G$119,4,FALSE),"TBD"),"")</f>
        <v>0</v>
      </c>
      <c r="G38" s="4">
        <f>_xlfn.IFERROR(IF(B38&gt;0,VLOOKUP(B38,'Robot Performance Analysis'!B$7:G$119,5,FALSE),"TBD"),"")</f>
        <v>0</v>
      </c>
      <c r="H38" s="4">
        <f>_xlfn.IFERROR(IF(B38&gt;0,VLOOKUP(B38,'Robot Performance Analysis'!B$7:G$119,6,FALSE),"TBD"),"")</f>
        <v>0</v>
      </c>
      <c r="I38" s="4">
        <f t="shared" si="0"/>
        <v>0</v>
      </c>
      <c r="J38" s="4">
        <f t="shared" si="1"/>
        <v>0</v>
      </c>
      <c r="K38" s="4">
        <f t="shared" si="2"/>
      </c>
      <c r="L38" s="6">
        <f t="shared" si="3"/>
      </c>
      <c r="M38" s="9">
        <f t="shared" si="4"/>
      </c>
      <c r="N38" s="6"/>
      <c r="O38" s="6"/>
      <c r="P38" s="6"/>
      <c r="Q38" s="5">
        <f t="shared" si="5"/>
      </c>
      <c r="R38" s="50">
        <f t="shared" si="6"/>
        <v>9999</v>
      </c>
      <c r="S38" s="6">
        <f t="shared" si="7"/>
      </c>
      <c r="T38" s="57"/>
      <c r="U38" s="6">
        <f t="shared" si="8"/>
      </c>
      <c r="V38" s="57"/>
      <c r="W38" s="8"/>
      <c r="X38" s="7">
        <f t="shared" si="9"/>
      </c>
    </row>
    <row r="39" spans="2:24" ht="24.75" customHeight="1">
      <c r="B39" s="7">
        <f>_xlfn.IFERROR(IF(ISBLANK('Team Information Input'!A32),"",'Team Information Input'!A32),"")</f>
      </c>
      <c r="C39" s="3">
        <f>_xlfn.IFERROR(IF(ISBLANK('Team Information Input'!B32),"",'Team Information Input'!B32),"")</f>
      </c>
      <c r="D39" s="3">
        <f>'Team Information Input'!D32</f>
        <v>0</v>
      </c>
      <c r="E39" s="4">
        <f>_xlfn.IFERROR(I39+J39*10000+K39*100000000,_xlfn.IFERROR(I39*10000+#REF!*100000000,_xlfn.IFERROR(#REF!*100000000,"")))</f>
      </c>
      <c r="F39" s="4">
        <f>_xlfn.IFERROR(IF(B39&gt;0,VLOOKUP(B39,'Robot Performance Analysis'!B$7:G$119,4,FALSE),"TBD"),"")</f>
        <v>0</v>
      </c>
      <c r="G39" s="4">
        <f>_xlfn.IFERROR(IF(B39&gt;0,VLOOKUP(B39,'Robot Performance Analysis'!B$7:G$119,5,FALSE),"TBD"),"")</f>
        <v>0</v>
      </c>
      <c r="H39" s="4">
        <f>_xlfn.IFERROR(IF(B39&gt;0,VLOOKUP(B39,'Robot Performance Analysis'!B$7:G$119,6,FALSE),"TBD"),"")</f>
        <v>0</v>
      </c>
      <c r="I39" s="4">
        <f t="shared" si="0"/>
        <v>0</v>
      </c>
      <c r="J39" s="4">
        <f t="shared" si="1"/>
        <v>0</v>
      </c>
      <c r="K39" s="4">
        <f t="shared" si="2"/>
      </c>
      <c r="L39" s="6">
        <f t="shared" si="3"/>
      </c>
      <c r="M39" s="9">
        <f t="shared" si="4"/>
      </c>
      <c r="N39" s="6"/>
      <c r="O39" s="6"/>
      <c r="P39" s="6"/>
      <c r="Q39" s="5">
        <f t="shared" si="5"/>
      </c>
      <c r="R39" s="50">
        <f t="shared" si="6"/>
        <v>9999</v>
      </c>
      <c r="S39" s="6">
        <f t="shared" si="7"/>
      </c>
      <c r="T39" s="57"/>
      <c r="U39" s="6">
        <f t="shared" si="8"/>
      </c>
      <c r="V39" s="57"/>
      <c r="W39" s="8"/>
      <c r="X39" s="7">
        <f t="shared" si="9"/>
      </c>
    </row>
    <row r="40" spans="2:24" ht="24.75" customHeight="1">
      <c r="B40" s="7">
        <f>_xlfn.IFERROR(IF(ISBLANK('Team Information Input'!A33),"",'Team Information Input'!A33),"")</f>
      </c>
      <c r="C40" s="3">
        <f>_xlfn.IFERROR(IF(ISBLANK('Team Information Input'!B33),"",'Team Information Input'!B33),"")</f>
      </c>
      <c r="D40" s="3">
        <f>'Team Information Input'!D33</f>
        <v>0</v>
      </c>
      <c r="E40" s="4">
        <f>_xlfn.IFERROR(I40+J40*10000+K40*100000000,_xlfn.IFERROR(I40*10000+#REF!*100000000,_xlfn.IFERROR(#REF!*100000000,"")))</f>
      </c>
      <c r="F40" s="4">
        <f>_xlfn.IFERROR(IF(B40&gt;0,VLOOKUP(B40,'Robot Performance Analysis'!B$7:G$119,4,FALSE),"TBD"),"")</f>
        <v>0</v>
      </c>
      <c r="G40" s="4">
        <f>_xlfn.IFERROR(IF(B40&gt;0,VLOOKUP(B40,'Robot Performance Analysis'!B$7:G$119,5,FALSE),"TBD"),"")</f>
        <v>0</v>
      </c>
      <c r="H40" s="4">
        <f>_xlfn.IFERROR(IF(B40&gt;0,VLOOKUP(B40,'Robot Performance Analysis'!B$7:G$119,6,FALSE),"TBD"),"")</f>
        <v>0</v>
      </c>
      <c r="I40" s="4">
        <f t="shared" si="0"/>
        <v>0</v>
      </c>
      <c r="J40" s="4">
        <f t="shared" si="1"/>
        <v>0</v>
      </c>
      <c r="K40" s="4">
        <f t="shared" si="2"/>
      </c>
      <c r="L40" s="6">
        <f t="shared" si="3"/>
      </c>
      <c r="M40" s="9">
        <f t="shared" si="4"/>
      </c>
      <c r="N40" s="6"/>
      <c r="O40" s="6"/>
      <c r="P40" s="6"/>
      <c r="Q40" s="5">
        <f t="shared" si="5"/>
      </c>
      <c r="R40" s="50">
        <f t="shared" si="6"/>
        <v>9999</v>
      </c>
      <c r="S40" s="6">
        <f t="shared" si="7"/>
      </c>
      <c r="T40" s="57"/>
      <c r="U40" s="6">
        <f t="shared" si="8"/>
      </c>
      <c r="V40" s="57"/>
      <c r="W40" s="8"/>
      <c r="X40" s="7">
        <f t="shared" si="9"/>
      </c>
    </row>
    <row r="41" spans="2:24" ht="24.75" customHeight="1">
      <c r="B41" s="7">
        <f>_xlfn.IFERROR(IF(ISBLANK('Team Information Input'!A34),"",'Team Information Input'!A34),"")</f>
      </c>
      <c r="C41" s="3">
        <f>_xlfn.IFERROR(IF(ISBLANK('Team Information Input'!B34),"",'Team Information Input'!B34),"")</f>
      </c>
      <c r="D41" s="3">
        <f>'Team Information Input'!D34</f>
        <v>0</v>
      </c>
      <c r="E41" s="4">
        <f>_xlfn.IFERROR(I41+J41*10000+K41*100000000,_xlfn.IFERROR(I41*10000+#REF!*100000000,_xlfn.IFERROR(#REF!*100000000,"")))</f>
      </c>
      <c r="F41" s="4">
        <f>_xlfn.IFERROR(IF(B41&gt;0,VLOOKUP(B41,'Robot Performance Analysis'!B$7:G$119,4,FALSE),"TBD"),"")</f>
        <v>0</v>
      </c>
      <c r="G41" s="4">
        <f>_xlfn.IFERROR(IF(B41&gt;0,VLOOKUP(B41,'Robot Performance Analysis'!B$7:G$119,5,FALSE),"TBD"),"")</f>
        <v>0</v>
      </c>
      <c r="H41" s="4">
        <f>_xlfn.IFERROR(IF(B41&gt;0,VLOOKUP(B41,'Robot Performance Analysis'!B$7:G$119,6,FALSE),"TBD"),"")</f>
        <v>0</v>
      </c>
      <c r="I41" s="4">
        <f aca="true" t="shared" si="10" ref="I41:I72">_xlfn.IFERROR(IF(COUNTA(F41:H41)&gt;1,MIN(F41:H41),""),"")</f>
        <v>0</v>
      </c>
      <c r="J41" s="4">
        <f aca="true" t="shared" si="11" ref="J41:J72">_xlfn.IFERROR(IF(COUNTA(F41:H41)&gt;2,MEDIAN(F41:H41)," ")," ")</f>
        <v>0</v>
      </c>
      <c r="K41" s="4">
        <f aca="true" t="shared" si="12" ref="K41:K72">_xlfn.IFERROR(IF(SUM(F41:H41)&gt;0,MAX(F41:H41),""),"")</f>
      </c>
      <c r="L41" s="6">
        <f aca="true" t="shared" si="13" ref="L41:L72">IF(ISNUMBER(K41),IF(F41="TBD","TBD",RANK(E41,E$1:E$65536,0)),"")</f>
      </c>
      <c r="M41" s="9">
        <f aca="true" t="shared" si="14" ref="M41:M72">IF(ISNUMBER(L41),IF(F41="TBD","TBD",L41/MAX(L$1:L$65536)),"")</f>
      </c>
      <c r="N41" s="6"/>
      <c r="O41" s="6"/>
      <c r="P41" s="6"/>
      <c r="Q41" s="5">
        <f aca="true" t="shared" si="15" ref="Q41:Q72">IF(B41="","",IF(AND(ISNUMBER(N41),ISNUMBER(O41),ISNUMBER(P41)),N41+O41+P41,"Ineligible"))</f>
      </c>
      <c r="R41" s="50">
        <f aca="true" t="shared" si="16" ref="R41:R72">_xlfn.IFERROR(STDEV(O41:Q41),9999)</f>
        <v>9999</v>
      </c>
      <c r="S41" s="6">
        <f aca="true" t="shared" si="17" ref="S41:S72">IF(ISBLANK(B41),"",IF(ISNUMBER(Q41),RANK(Q41,Q$1:Q$65536,1),""))</f>
      </c>
      <c r="T41" s="57"/>
      <c r="U41" s="6">
        <f aca="true" t="shared" si="18" ref="U41:U72">_xlfn.IFERROR(VLOOKUP(T41,T51:W280,2,0),"")</f>
      </c>
      <c r="V41" s="57"/>
      <c r="W41" s="8"/>
      <c r="X41" s="7">
        <f aca="true" t="shared" si="19" ref="X41:X72">_xlfn.IFERROR(B41,"")</f>
      </c>
    </row>
    <row r="42" spans="2:24" ht="24.75" customHeight="1">
      <c r="B42" s="7">
        <f>_xlfn.IFERROR(IF(ISBLANK('Team Information Input'!A35),"",'Team Information Input'!A35),"")</f>
      </c>
      <c r="C42" s="3">
        <f>_xlfn.IFERROR(IF(ISBLANK('Team Information Input'!B35),"",'Team Information Input'!B35),"")</f>
      </c>
      <c r="D42" s="3">
        <f>'Team Information Input'!D35</f>
        <v>0</v>
      </c>
      <c r="E42" s="4">
        <f>_xlfn.IFERROR(I42+J42*10000+K42*100000000,_xlfn.IFERROR(I42*10000+#REF!*100000000,_xlfn.IFERROR(#REF!*100000000,"")))</f>
      </c>
      <c r="F42" s="4">
        <f>_xlfn.IFERROR(IF(B42&gt;0,VLOOKUP(B42,'Robot Performance Analysis'!B$7:G$119,4,FALSE),"TBD"),"")</f>
        <v>0</v>
      </c>
      <c r="G42" s="4">
        <f>_xlfn.IFERROR(IF(B42&gt;0,VLOOKUP(B42,'Robot Performance Analysis'!B$7:G$119,5,FALSE),"TBD"),"")</f>
        <v>0</v>
      </c>
      <c r="H42" s="4">
        <f>_xlfn.IFERROR(IF(B42&gt;0,VLOOKUP(B42,'Robot Performance Analysis'!B$7:G$119,6,FALSE),"TBD"),"")</f>
        <v>0</v>
      </c>
      <c r="I42" s="4">
        <f t="shared" si="10"/>
        <v>0</v>
      </c>
      <c r="J42" s="4">
        <f t="shared" si="11"/>
        <v>0</v>
      </c>
      <c r="K42" s="4">
        <f t="shared" si="12"/>
      </c>
      <c r="L42" s="6">
        <f t="shared" si="13"/>
      </c>
      <c r="M42" s="9">
        <f t="shared" si="14"/>
      </c>
      <c r="N42" s="6"/>
      <c r="O42" s="6"/>
      <c r="P42" s="6"/>
      <c r="Q42" s="5">
        <f t="shared" si="15"/>
      </c>
      <c r="R42" s="50">
        <f t="shared" si="16"/>
        <v>9999</v>
      </c>
      <c r="S42" s="6">
        <f t="shared" si="17"/>
      </c>
      <c r="T42" s="57"/>
      <c r="U42" s="6">
        <f t="shared" si="18"/>
      </c>
      <c r="V42" s="57"/>
      <c r="W42" s="8"/>
      <c r="X42" s="7">
        <f t="shared" si="19"/>
      </c>
    </row>
    <row r="43" spans="2:24" ht="24.75" customHeight="1">
      <c r="B43" s="7">
        <f>_xlfn.IFERROR(IF(ISBLANK('Team Information Input'!A36),"",'Team Information Input'!A36),"")</f>
      </c>
      <c r="C43" s="3">
        <f>_xlfn.IFERROR(IF(ISBLANK('Team Information Input'!B36),"",'Team Information Input'!B36),"")</f>
      </c>
      <c r="D43" s="3">
        <f>'Team Information Input'!D36</f>
        <v>0</v>
      </c>
      <c r="E43" s="4">
        <f>_xlfn.IFERROR(I43+J43*10000+K43*100000000,_xlfn.IFERROR(I43*10000+#REF!*100000000,_xlfn.IFERROR(#REF!*100000000,"")))</f>
      </c>
      <c r="F43" s="4">
        <f>_xlfn.IFERROR(IF(B43&gt;0,VLOOKUP(B43,'Robot Performance Analysis'!B$7:G$119,4,FALSE),"TBD"),"")</f>
        <v>0</v>
      </c>
      <c r="G43" s="4">
        <f>_xlfn.IFERROR(IF(B43&gt;0,VLOOKUP(B43,'Robot Performance Analysis'!B$7:G$119,5,FALSE),"TBD"),"")</f>
        <v>0</v>
      </c>
      <c r="H43" s="4">
        <f>_xlfn.IFERROR(IF(B43&gt;0,VLOOKUP(B43,'Robot Performance Analysis'!B$7:G$119,6,FALSE),"TBD"),"")</f>
        <v>0</v>
      </c>
      <c r="I43" s="4">
        <f t="shared" si="10"/>
        <v>0</v>
      </c>
      <c r="J43" s="4">
        <f t="shared" si="11"/>
        <v>0</v>
      </c>
      <c r="K43" s="4">
        <f t="shared" si="12"/>
      </c>
      <c r="L43" s="6">
        <f t="shared" si="13"/>
      </c>
      <c r="M43" s="9">
        <f t="shared" si="14"/>
      </c>
      <c r="N43" s="6"/>
      <c r="O43" s="6"/>
      <c r="P43" s="6"/>
      <c r="Q43" s="5">
        <f t="shared" si="15"/>
      </c>
      <c r="R43" s="50">
        <f t="shared" si="16"/>
        <v>9999</v>
      </c>
      <c r="S43" s="6">
        <f t="shared" si="17"/>
      </c>
      <c r="T43" s="57"/>
      <c r="U43" s="6">
        <f t="shared" si="18"/>
      </c>
      <c r="V43" s="57"/>
      <c r="W43" s="8"/>
      <c r="X43" s="7">
        <f t="shared" si="19"/>
      </c>
    </row>
    <row r="44" spans="2:24" ht="24.75" customHeight="1">
      <c r="B44" s="7">
        <f>_xlfn.IFERROR(IF(ISBLANK('Team Information Input'!A37),"",'Team Information Input'!A37),"")</f>
      </c>
      <c r="C44" s="3">
        <f>_xlfn.IFERROR(IF(ISBLANK('Team Information Input'!B37),"",'Team Information Input'!B37),"")</f>
      </c>
      <c r="D44" s="3">
        <f>'Team Information Input'!D37</f>
        <v>0</v>
      </c>
      <c r="E44" s="4">
        <f>_xlfn.IFERROR(I44+J44*10000+K44*100000000,_xlfn.IFERROR(I44*10000+#REF!*100000000,_xlfn.IFERROR(#REF!*100000000,"")))</f>
      </c>
      <c r="F44" s="4">
        <f>_xlfn.IFERROR(IF(B44&gt;0,VLOOKUP(B44,'Robot Performance Analysis'!B$7:G$119,4,FALSE),"TBD"),"")</f>
        <v>0</v>
      </c>
      <c r="G44" s="4">
        <f>_xlfn.IFERROR(IF(B44&gt;0,VLOOKUP(B44,'Robot Performance Analysis'!B$7:G$119,5,FALSE),"TBD"),"")</f>
        <v>0</v>
      </c>
      <c r="H44" s="4">
        <f>_xlfn.IFERROR(IF(B44&gt;0,VLOOKUP(B44,'Robot Performance Analysis'!B$7:G$119,6,FALSE),"TBD"),"")</f>
        <v>0</v>
      </c>
      <c r="I44" s="4">
        <f t="shared" si="10"/>
        <v>0</v>
      </c>
      <c r="J44" s="4">
        <f t="shared" si="11"/>
        <v>0</v>
      </c>
      <c r="K44" s="4">
        <f t="shared" si="12"/>
      </c>
      <c r="L44" s="6">
        <f t="shared" si="13"/>
      </c>
      <c r="M44" s="9">
        <f t="shared" si="14"/>
      </c>
      <c r="N44" s="6"/>
      <c r="O44" s="6"/>
      <c r="P44" s="6"/>
      <c r="Q44" s="5">
        <f t="shared" si="15"/>
      </c>
      <c r="R44" s="50">
        <f t="shared" si="16"/>
        <v>9999</v>
      </c>
      <c r="S44" s="6">
        <f t="shared" si="17"/>
      </c>
      <c r="T44" s="57"/>
      <c r="U44" s="6">
        <f t="shared" si="18"/>
      </c>
      <c r="V44" s="57"/>
      <c r="W44" s="8"/>
      <c r="X44" s="7">
        <f t="shared" si="19"/>
      </c>
    </row>
    <row r="45" spans="2:24" ht="24.75" customHeight="1">
      <c r="B45" s="7">
        <f>_xlfn.IFERROR(IF(ISBLANK('Team Information Input'!A38),"",'Team Information Input'!A38),"")</f>
      </c>
      <c r="C45" s="3">
        <f>_xlfn.IFERROR(IF(ISBLANK('Team Information Input'!B38),"",'Team Information Input'!B38),"")</f>
      </c>
      <c r="D45" s="3">
        <f>'Team Information Input'!D38</f>
        <v>0</v>
      </c>
      <c r="E45" s="4">
        <f>_xlfn.IFERROR(I45+J45*10000+K45*100000000,_xlfn.IFERROR(I45*10000+#REF!*100000000,_xlfn.IFERROR(#REF!*100000000,"")))</f>
      </c>
      <c r="F45" s="4">
        <f>_xlfn.IFERROR(IF(B45&gt;0,VLOOKUP(B45,'Robot Performance Analysis'!B$7:G$119,4,FALSE),"TBD"),"")</f>
        <v>0</v>
      </c>
      <c r="G45" s="4">
        <f>_xlfn.IFERROR(IF(B45&gt;0,VLOOKUP(B45,'Robot Performance Analysis'!B$7:G$119,5,FALSE),"TBD"),"")</f>
        <v>0</v>
      </c>
      <c r="H45" s="4">
        <f>_xlfn.IFERROR(IF(B45&gt;0,VLOOKUP(B45,'Robot Performance Analysis'!B$7:G$119,6,FALSE),"TBD"),"")</f>
        <v>0</v>
      </c>
      <c r="I45" s="4">
        <f t="shared" si="10"/>
        <v>0</v>
      </c>
      <c r="J45" s="4">
        <f t="shared" si="11"/>
        <v>0</v>
      </c>
      <c r="K45" s="4">
        <f t="shared" si="12"/>
      </c>
      <c r="L45" s="6">
        <f t="shared" si="13"/>
      </c>
      <c r="M45" s="9">
        <f t="shared" si="14"/>
      </c>
      <c r="N45" s="6"/>
      <c r="O45" s="6"/>
      <c r="P45" s="6"/>
      <c r="Q45" s="5">
        <f t="shared" si="15"/>
      </c>
      <c r="R45" s="50">
        <f t="shared" si="16"/>
        <v>9999</v>
      </c>
      <c r="S45" s="6">
        <f t="shared" si="17"/>
      </c>
      <c r="T45" s="57"/>
      <c r="U45" s="6">
        <f t="shared" si="18"/>
      </c>
      <c r="V45" s="57"/>
      <c r="W45" s="8"/>
      <c r="X45" s="7">
        <f t="shared" si="19"/>
      </c>
    </row>
    <row r="46" spans="2:24" ht="24.75" customHeight="1">
      <c r="B46" s="7">
        <f>_xlfn.IFERROR(IF(ISBLANK('Team Information Input'!A39),"",'Team Information Input'!A39),"")</f>
      </c>
      <c r="C46" s="3">
        <f>_xlfn.IFERROR(IF(ISBLANK('Team Information Input'!B39),"",'Team Information Input'!B39),"")</f>
      </c>
      <c r="D46" s="3">
        <f>'Team Information Input'!D39</f>
        <v>0</v>
      </c>
      <c r="E46" s="4">
        <f>_xlfn.IFERROR(I46+J46*10000+K46*100000000,_xlfn.IFERROR(I46*10000+#REF!*100000000,_xlfn.IFERROR(#REF!*100000000,"")))</f>
      </c>
      <c r="F46" s="4">
        <f>_xlfn.IFERROR(IF(B46&gt;0,VLOOKUP(B46,'Robot Performance Analysis'!B$7:G$119,4,FALSE),"TBD"),"")</f>
        <v>0</v>
      </c>
      <c r="G46" s="4">
        <f>_xlfn.IFERROR(IF(B46&gt;0,VLOOKUP(B46,'Robot Performance Analysis'!B$7:G$119,5,FALSE),"TBD"),"")</f>
        <v>0</v>
      </c>
      <c r="H46" s="4">
        <f>_xlfn.IFERROR(IF(B46&gt;0,VLOOKUP(B46,'Robot Performance Analysis'!B$7:G$119,6,FALSE),"TBD"),"")</f>
        <v>0</v>
      </c>
      <c r="I46" s="4">
        <f t="shared" si="10"/>
        <v>0</v>
      </c>
      <c r="J46" s="4">
        <f t="shared" si="11"/>
        <v>0</v>
      </c>
      <c r="K46" s="4">
        <f t="shared" si="12"/>
      </c>
      <c r="L46" s="6">
        <f t="shared" si="13"/>
      </c>
      <c r="M46" s="9">
        <f t="shared" si="14"/>
      </c>
      <c r="N46" s="6"/>
      <c r="O46" s="6"/>
      <c r="P46" s="6"/>
      <c r="Q46" s="5">
        <f t="shared" si="15"/>
      </c>
      <c r="R46" s="50">
        <f t="shared" si="16"/>
        <v>9999</v>
      </c>
      <c r="S46" s="6">
        <f t="shared" si="17"/>
      </c>
      <c r="T46" s="57"/>
      <c r="U46" s="6">
        <f t="shared" si="18"/>
      </c>
      <c r="V46" s="57"/>
      <c r="W46" s="8"/>
      <c r="X46" s="7">
        <f t="shared" si="19"/>
      </c>
    </row>
    <row r="47" spans="2:24" ht="24.75" customHeight="1">
      <c r="B47" s="7">
        <f>_xlfn.IFERROR(IF(ISBLANK('Team Information Input'!A40),"",'Team Information Input'!A40),"")</f>
      </c>
      <c r="C47" s="3">
        <f>_xlfn.IFERROR(IF(ISBLANK('Team Information Input'!B40),"",'Team Information Input'!B40),"")</f>
      </c>
      <c r="D47" s="3">
        <f>'Team Information Input'!D40</f>
        <v>0</v>
      </c>
      <c r="E47" s="4">
        <f>_xlfn.IFERROR(I47+J47*10000+K47*100000000,_xlfn.IFERROR(I47*10000+#REF!*100000000,_xlfn.IFERROR(#REF!*100000000,"")))</f>
      </c>
      <c r="F47" s="4">
        <f>_xlfn.IFERROR(IF(B47&gt;0,VLOOKUP(B47,'Robot Performance Analysis'!B$7:G$119,4,FALSE),"TBD"),"")</f>
        <v>0</v>
      </c>
      <c r="G47" s="4">
        <f>_xlfn.IFERROR(IF(B47&gt;0,VLOOKUP(B47,'Robot Performance Analysis'!B$7:G$119,5,FALSE),"TBD"),"")</f>
        <v>0</v>
      </c>
      <c r="H47" s="4">
        <f>_xlfn.IFERROR(IF(B47&gt;0,VLOOKUP(B47,'Robot Performance Analysis'!B$7:G$119,6,FALSE),"TBD"),"")</f>
        <v>0</v>
      </c>
      <c r="I47" s="4">
        <f t="shared" si="10"/>
        <v>0</v>
      </c>
      <c r="J47" s="4">
        <f t="shared" si="11"/>
        <v>0</v>
      </c>
      <c r="K47" s="4">
        <f t="shared" si="12"/>
      </c>
      <c r="L47" s="6">
        <f t="shared" si="13"/>
      </c>
      <c r="M47" s="9">
        <f t="shared" si="14"/>
      </c>
      <c r="N47" s="6"/>
      <c r="O47" s="6"/>
      <c r="P47" s="6"/>
      <c r="Q47" s="5">
        <f t="shared" si="15"/>
      </c>
      <c r="R47" s="50">
        <f t="shared" si="16"/>
        <v>9999</v>
      </c>
      <c r="S47" s="6">
        <f t="shared" si="17"/>
      </c>
      <c r="T47" s="57"/>
      <c r="U47" s="6">
        <f t="shared" si="18"/>
      </c>
      <c r="V47" s="57"/>
      <c r="W47" s="8"/>
      <c r="X47" s="7">
        <f t="shared" si="19"/>
      </c>
    </row>
    <row r="48" spans="2:24" ht="24.75" customHeight="1">
      <c r="B48" s="7">
        <f>_xlfn.IFERROR(IF(ISBLANK('Team Information Input'!A41),"",'Team Information Input'!A41),"")</f>
      </c>
      <c r="C48" s="3">
        <f>_xlfn.IFERROR(IF(ISBLANK('Team Information Input'!B41),"",'Team Information Input'!B41),"")</f>
      </c>
      <c r="D48" s="3">
        <f>'Team Information Input'!D41</f>
        <v>0</v>
      </c>
      <c r="E48" s="4">
        <f>_xlfn.IFERROR(I48+J48*10000+K48*100000000,_xlfn.IFERROR(I48*10000+#REF!*100000000,_xlfn.IFERROR(#REF!*100000000,"")))</f>
      </c>
      <c r="F48" s="4">
        <f>_xlfn.IFERROR(IF(B48&gt;0,VLOOKUP(B48,'Robot Performance Analysis'!B$7:G$119,4,FALSE),"TBD"),"")</f>
        <v>0</v>
      </c>
      <c r="G48" s="4">
        <f>_xlfn.IFERROR(IF(B48&gt;0,VLOOKUP(B48,'Robot Performance Analysis'!B$7:G$119,5,FALSE),"TBD"),"")</f>
        <v>0</v>
      </c>
      <c r="H48" s="4">
        <f>_xlfn.IFERROR(IF(B48&gt;0,VLOOKUP(B48,'Robot Performance Analysis'!B$7:G$119,6,FALSE),"TBD"),"")</f>
        <v>0</v>
      </c>
      <c r="I48" s="4">
        <f t="shared" si="10"/>
        <v>0</v>
      </c>
      <c r="J48" s="4">
        <f t="shared" si="11"/>
        <v>0</v>
      </c>
      <c r="K48" s="4">
        <f t="shared" si="12"/>
      </c>
      <c r="L48" s="6">
        <f t="shared" si="13"/>
      </c>
      <c r="M48" s="9">
        <f t="shared" si="14"/>
      </c>
      <c r="N48" s="6"/>
      <c r="O48" s="6"/>
      <c r="P48" s="6"/>
      <c r="Q48" s="5">
        <f t="shared" si="15"/>
      </c>
      <c r="R48" s="50">
        <f t="shared" si="16"/>
        <v>9999</v>
      </c>
      <c r="S48" s="6">
        <f t="shared" si="17"/>
      </c>
      <c r="T48" s="57"/>
      <c r="U48" s="6">
        <f t="shared" si="18"/>
      </c>
      <c r="V48" s="57"/>
      <c r="W48" s="8"/>
      <c r="X48" s="7">
        <f t="shared" si="19"/>
      </c>
    </row>
    <row r="49" spans="2:24" ht="24.75" customHeight="1">
      <c r="B49" s="7">
        <f>_xlfn.IFERROR(IF(ISBLANK('Team Information Input'!A42),"",'Team Information Input'!A42),"")</f>
      </c>
      <c r="C49" s="3">
        <f>_xlfn.IFERROR(IF(ISBLANK('Team Information Input'!B42),"",'Team Information Input'!B42),"")</f>
      </c>
      <c r="D49" s="3">
        <f>'Team Information Input'!D42</f>
        <v>0</v>
      </c>
      <c r="E49" s="4">
        <f>_xlfn.IFERROR(I49+J49*10000+K49*100000000,_xlfn.IFERROR(I49*10000+#REF!*100000000,_xlfn.IFERROR(#REF!*100000000,"")))</f>
      </c>
      <c r="F49" s="4">
        <f>_xlfn.IFERROR(IF(B49&gt;0,VLOOKUP(B49,'Robot Performance Analysis'!B$7:G$119,4,FALSE),"TBD"),"")</f>
        <v>0</v>
      </c>
      <c r="G49" s="4">
        <f>_xlfn.IFERROR(IF(B49&gt;0,VLOOKUP(B49,'Robot Performance Analysis'!B$7:G$119,5,FALSE),"TBD"),"")</f>
        <v>0</v>
      </c>
      <c r="H49" s="4">
        <f>_xlfn.IFERROR(IF(B49&gt;0,VLOOKUP(B49,'Robot Performance Analysis'!B$7:G$119,6,FALSE),"TBD"),"")</f>
        <v>0</v>
      </c>
      <c r="I49" s="4">
        <f t="shared" si="10"/>
        <v>0</v>
      </c>
      <c r="J49" s="4">
        <f t="shared" si="11"/>
        <v>0</v>
      </c>
      <c r="K49" s="4">
        <f t="shared" si="12"/>
      </c>
      <c r="L49" s="6">
        <f t="shared" si="13"/>
      </c>
      <c r="M49" s="9">
        <f t="shared" si="14"/>
      </c>
      <c r="N49" s="6"/>
      <c r="O49" s="6"/>
      <c r="P49" s="6"/>
      <c r="Q49" s="5">
        <f t="shared" si="15"/>
      </c>
      <c r="R49" s="50">
        <f t="shared" si="16"/>
        <v>9999</v>
      </c>
      <c r="S49" s="6">
        <f t="shared" si="17"/>
      </c>
      <c r="T49" s="57"/>
      <c r="U49" s="6">
        <f t="shared" si="18"/>
      </c>
      <c r="V49" s="57"/>
      <c r="W49" s="8"/>
      <c r="X49" s="7">
        <f t="shared" si="19"/>
      </c>
    </row>
    <row r="50" spans="2:24" ht="24.75" customHeight="1">
      <c r="B50" s="7">
        <f>_xlfn.IFERROR(IF(ISBLANK('Team Information Input'!A43),"",'Team Information Input'!A43),"")</f>
      </c>
      <c r="C50" s="3">
        <f>_xlfn.IFERROR(IF(ISBLANK('Team Information Input'!B43),"",'Team Information Input'!B43),"")</f>
      </c>
      <c r="D50" s="3">
        <f>'Team Information Input'!D43</f>
        <v>0</v>
      </c>
      <c r="E50" s="4">
        <f>_xlfn.IFERROR(I50+J50*10000+K50*100000000,_xlfn.IFERROR(I50*10000+#REF!*100000000,_xlfn.IFERROR(#REF!*100000000,"")))</f>
      </c>
      <c r="F50" s="4">
        <f>_xlfn.IFERROR(IF(B50&gt;0,VLOOKUP(B50,'Robot Performance Analysis'!B$7:G$119,4,FALSE),"TBD"),"")</f>
        <v>0</v>
      </c>
      <c r="G50" s="4">
        <f>_xlfn.IFERROR(IF(B50&gt;0,VLOOKUP(B50,'Robot Performance Analysis'!B$7:G$119,5,FALSE),"TBD"),"")</f>
        <v>0</v>
      </c>
      <c r="H50" s="4">
        <f>_xlfn.IFERROR(IF(B50&gt;0,VLOOKUP(B50,'Robot Performance Analysis'!B$7:G$119,6,FALSE),"TBD"),"")</f>
        <v>0</v>
      </c>
      <c r="I50" s="4">
        <f t="shared" si="10"/>
        <v>0</v>
      </c>
      <c r="J50" s="4">
        <f t="shared" si="11"/>
        <v>0</v>
      </c>
      <c r="K50" s="4">
        <f t="shared" si="12"/>
      </c>
      <c r="L50" s="6">
        <f t="shared" si="13"/>
      </c>
      <c r="M50" s="9">
        <f t="shared" si="14"/>
      </c>
      <c r="N50" s="6"/>
      <c r="O50" s="6"/>
      <c r="P50" s="6"/>
      <c r="Q50" s="5">
        <f t="shared" si="15"/>
      </c>
      <c r="R50" s="50">
        <f t="shared" si="16"/>
        <v>9999</v>
      </c>
      <c r="S50" s="6">
        <f t="shared" si="17"/>
      </c>
      <c r="T50" s="57"/>
      <c r="U50" s="6">
        <f t="shared" si="18"/>
      </c>
      <c r="V50" s="57"/>
      <c r="W50" s="8"/>
      <c r="X50" s="7">
        <f t="shared" si="19"/>
      </c>
    </row>
    <row r="51" spans="2:24" ht="24.75" customHeight="1">
      <c r="B51" s="7">
        <f>_xlfn.IFERROR(IF(ISBLANK('Team Information Input'!A44),"",'Team Information Input'!A44),"")</f>
      </c>
      <c r="C51" s="3">
        <f>_xlfn.IFERROR(IF(ISBLANK('Team Information Input'!B44),"",'Team Information Input'!B44),"")</f>
      </c>
      <c r="D51" s="3">
        <f>'Team Information Input'!D44</f>
        <v>0</v>
      </c>
      <c r="E51" s="4">
        <f>_xlfn.IFERROR(I51+J51*10000+K51*100000000,_xlfn.IFERROR(I51*10000+#REF!*100000000,_xlfn.IFERROR(#REF!*100000000,"")))</f>
      </c>
      <c r="F51" s="4">
        <f>_xlfn.IFERROR(IF(B51&gt;0,VLOOKUP(B51,'Robot Performance Analysis'!B$7:G$119,4,FALSE),"TBD"),"")</f>
        <v>0</v>
      </c>
      <c r="G51" s="4">
        <f>_xlfn.IFERROR(IF(B51&gt;0,VLOOKUP(B51,'Robot Performance Analysis'!B$7:G$119,5,FALSE),"TBD"),"")</f>
        <v>0</v>
      </c>
      <c r="H51" s="4">
        <f>_xlfn.IFERROR(IF(B51&gt;0,VLOOKUP(B51,'Robot Performance Analysis'!B$7:G$119,6,FALSE),"TBD"),"")</f>
        <v>0</v>
      </c>
      <c r="I51" s="4">
        <f t="shared" si="10"/>
        <v>0</v>
      </c>
      <c r="J51" s="4">
        <f t="shared" si="11"/>
        <v>0</v>
      </c>
      <c r="K51" s="4">
        <f t="shared" si="12"/>
      </c>
      <c r="L51" s="6">
        <f t="shared" si="13"/>
      </c>
      <c r="M51" s="9">
        <f t="shared" si="14"/>
      </c>
      <c r="N51" s="6"/>
      <c r="O51" s="6"/>
      <c r="P51" s="6"/>
      <c r="Q51" s="5">
        <f t="shared" si="15"/>
      </c>
      <c r="R51" s="50">
        <f t="shared" si="16"/>
        <v>9999</v>
      </c>
      <c r="S51" s="6">
        <f t="shared" si="17"/>
      </c>
      <c r="T51" s="57"/>
      <c r="U51" s="6">
        <f t="shared" si="18"/>
      </c>
      <c r="V51" s="57"/>
      <c r="W51" s="8"/>
      <c r="X51" s="7">
        <f t="shared" si="19"/>
      </c>
    </row>
    <row r="52" spans="2:24" ht="24.75" customHeight="1">
      <c r="B52" s="7">
        <f>_xlfn.IFERROR(IF(ISBLANK('Team Information Input'!A45),"",'Team Information Input'!A45),"")</f>
      </c>
      <c r="C52" s="3">
        <f>_xlfn.IFERROR(IF(ISBLANK('Team Information Input'!B45),"",'Team Information Input'!B45),"")</f>
      </c>
      <c r="D52" s="3">
        <f>'Team Information Input'!D45</f>
        <v>0</v>
      </c>
      <c r="E52" s="4">
        <f>_xlfn.IFERROR(I52+J52*10000+K52*100000000,_xlfn.IFERROR(I52*10000+#REF!*100000000,_xlfn.IFERROR(#REF!*100000000,"")))</f>
      </c>
      <c r="F52" s="4">
        <f>_xlfn.IFERROR(IF(B52&gt;0,VLOOKUP(B52,'Robot Performance Analysis'!B$7:G$119,4,FALSE),"TBD"),"")</f>
        <v>0</v>
      </c>
      <c r="G52" s="4">
        <f>_xlfn.IFERROR(IF(B52&gt;0,VLOOKUP(B52,'Robot Performance Analysis'!B$7:G$119,5,FALSE),"TBD"),"")</f>
        <v>0</v>
      </c>
      <c r="H52" s="4">
        <f>_xlfn.IFERROR(IF(B52&gt;0,VLOOKUP(B52,'Robot Performance Analysis'!B$7:G$119,6,FALSE),"TBD"),"")</f>
        <v>0</v>
      </c>
      <c r="I52" s="4">
        <f t="shared" si="10"/>
        <v>0</v>
      </c>
      <c r="J52" s="4">
        <f t="shared" si="11"/>
        <v>0</v>
      </c>
      <c r="K52" s="4">
        <f t="shared" si="12"/>
      </c>
      <c r="L52" s="6">
        <f t="shared" si="13"/>
      </c>
      <c r="M52" s="9">
        <f t="shared" si="14"/>
      </c>
      <c r="N52" s="6"/>
      <c r="O52" s="6"/>
      <c r="P52" s="6"/>
      <c r="Q52" s="5">
        <f t="shared" si="15"/>
      </c>
      <c r="R52" s="50">
        <f t="shared" si="16"/>
        <v>9999</v>
      </c>
      <c r="S52" s="6">
        <f t="shared" si="17"/>
      </c>
      <c r="T52" s="57"/>
      <c r="U52" s="6">
        <f t="shared" si="18"/>
      </c>
      <c r="V52" s="57"/>
      <c r="W52" s="8"/>
      <c r="X52" s="7">
        <f t="shared" si="19"/>
      </c>
    </row>
    <row r="53" spans="2:24" ht="24.75" customHeight="1">
      <c r="B53" s="7">
        <f>_xlfn.IFERROR(IF(ISBLANK('Team Information Input'!A46),"",'Team Information Input'!A46),"")</f>
      </c>
      <c r="C53" s="3">
        <f>_xlfn.IFERROR(IF(ISBLANK('Team Information Input'!B46),"",'Team Information Input'!B46),"")</f>
      </c>
      <c r="D53" s="3">
        <f>'Team Information Input'!D46</f>
        <v>0</v>
      </c>
      <c r="E53" s="4">
        <f>_xlfn.IFERROR(I53+J53*10000+K53*100000000,_xlfn.IFERROR(I53*10000+#REF!*100000000,_xlfn.IFERROR(#REF!*100000000,"")))</f>
      </c>
      <c r="F53" s="4">
        <f>_xlfn.IFERROR(IF(B53&gt;0,VLOOKUP(B53,'Robot Performance Analysis'!B$7:G$119,4,FALSE),"TBD"),"")</f>
        <v>0</v>
      </c>
      <c r="G53" s="4">
        <f>_xlfn.IFERROR(IF(B53&gt;0,VLOOKUP(B53,'Robot Performance Analysis'!B$7:G$119,5,FALSE),"TBD"),"")</f>
        <v>0</v>
      </c>
      <c r="H53" s="4">
        <f>_xlfn.IFERROR(IF(B53&gt;0,VLOOKUP(B53,'Robot Performance Analysis'!B$7:G$119,6,FALSE),"TBD"),"")</f>
        <v>0</v>
      </c>
      <c r="I53" s="4">
        <f t="shared" si="10"/>
        <v>0</v>
      </c>
      <c r="J53" s="4">
        <f t="shared" si="11"/>
        <v>0</v>
      </c>
      <c r="K53" s="4">
        <f t="shared" si="12"/>
      </c>
      <c r="L53" s="6">
        <f t="shared" si="13"/>
      </c>
      <c r="M53" s="9">
        <f t="shared" si="14"/>
      </c>
      <c r="N53" s="6"/>
      <c r="O53" s="6"/>
      <c r="P53" s="6"/>
      <c r="Q53" s="5">
        <f t="shared" si="15"/>
      </c>
      <c r="R53" s="50">
        <f t="shared" si="16"/>
        <v>9999</v>
      </c>
      <c r="S53" s="6">
        <f t="shared" si="17"/>
      </c>
      <c r="T53" s="57"/>
      <c r="U53" s="6">
        <f t="shared" si="18"/>
      </c>
      <c r="V53" s="57"/>
      <c r="W53" s="8"/>
      <c r="X53" s="7">
        <f t="shared" si="19"/>
      </c>
    </row>
    <row r="54" spans="2:24" ht="24.75" customHeight="1">
      <c r="B54" s="7">
        <f>_xlfn.IFERROR(IF(ISBLANK('Team Information Input'!A47),"",'Team Information Input'!A47),"")</f>
      </c>
      <c r="C54" s="3">
        <f>_xlfn.IFERROR(IF(ISBLANK('Team Information Input'!B47),"",'Team Information Input'!B47),"")</f>
      </c>
      <c r="D54" s="3">
        <f>'Team Information Input'!D47</f>
        <v>0</v>
      </c>
      <c r="E54" s="4">
        <f>_xlfn.IFERROR(I54+J54*10000+K54*100000000,_xlfn.IFERROR(I54*10000+#REF!*100000000,_xlfn.IFERROR(#REF!*100000000,"")))</f>
      </c>
      <c r="F54" s="4">
        <f>_xlfn.IFERROR(IF(B54&gt;0,VLOOKUP(B54,'Robot Performance Analysis'!B$7:G$119,4,FALSE),"TBD"),"")</f>
        <v>0</v>
      </c>
      <c r="G54" s="4">
        <f>_xlfn.IFERROR(IF(B54&gt;0,VLOOKUP(B54,'Robot Performance Analysis'!B$7:G$119,5,FALSE),"TBD"),"")</f>
        <v>0</v>
      </c>
      <c r="H54" s="4">
        <f>_xlfn.IFERROR(IF(B54&gt;0,VLOOKUP(B54,'Robot Performance Analysis'!B$7:G$119,6,FALSE),"TBD"),"")</f>
        <v>0</v>
      </c>
      <c r="I54" s="4">
        <f t="shared" si="10"/>
        <v>0</v>
      </c>
      <c r="J54" s="4">
        <f t="shared" si="11"/>
        <v>0</v>
      </c>
      <c r="K54" s="4">
        <f t="shared" si="12"/>
      </c>
      <c r="L54" s="6">
        <f t="shared" si="13"/>
      </c>
      <c r="M54" s="9">
        <f t="shared" si="14"/>
      </c>
      <c r="N54" s="6"/>
      <c r="O54" s="6"/>
      <c r="P54" s="6"/>
      <c r="Q54" s="5">
        <f t="shared" si="15"/>
      </c>
      <c r="R54" s="50">
        <f t="shared" si="16"/>
        <v>9999</v>
      </c>
      <c r="S54" s="6">
        <f t="shared" si="17"/>
      </c>
      <c r="T54" s="57"/>
      <c r="U54" s="6">
        <f t="shared" si="18"/>
      </c>
      <c r="V54" s="57"/>
      <c r="W54" s="8"/>
      <c r="X54" s="7">
        <f t="shared" si="19"/>
      </c>
    </row>
    <row r="55" spans="2:24" ht="24.75" customHeight="1">
      <c r="B55" s="7">
        <f>_xlfn.IFERROR(IF(ISBLANK('Team Information Input'!A48),"",'Team Information Input'!A48),"")</f>
      </c>
      <c r="C55" s="3">
        <f>_xlfn.IFERROR(IF(ISBLANK('Team Information Input'!B48),"",'Team Information Input'!B48),"")</f>
      </c>
      <c r="D55" s="3">
        <f>'Team Information Input'!D48</f>
        <v>0</v>
      </c>
      <c r="E55" s="4">
        <f>_xlfn.IFERROR(I55+J55*10000+K55*100000000,_xlfn.IFERROR(I55*10000+#REF!*100000000,_xlfn.IFERROR(#REF!*100000000,"")))</f>
      </c>
      <c r="F55" s="4">
        <f>_xlfn.IFERROR(IF(B55&gt;0,VLOOKUP(B55,'Robot Performance Analysis'!B$7:G$119,4,FALSE),"TBD"),"")</f>
        <v>0</v>
      </c>
      <c r="G55" s="4">
        <f>_xlfn.IFERROR(IF(B55&gt;0,VLOOKUP(B55,'Robot Performance Analysis'!B$7:G$119,5,FALSE),"TBD"),"")</f>
        <v>0</v>
      </c>
      <c r="H55" s="4">
        <f>_xlfn.IFERROR(IF(B55&gt;0,VLOOKUP(B55,'Robot Performance Analysis'!B$7:G$119,6,FALSE),"TBD"),"")</f>
        <v>0</v>
      </c>
      <c r="I55" s="4">
        <f t="shared" si="10"/>
        <v>0</v>
      </c>
      <c r="J55" s="4">
        <f t="shared" si="11"/>
        <v>0</v>
      </c>
      <c r="K55" s="4">
        <f t="shared" si="12"/>
      </c>
      <c r="L55" s="6">
        <f t="shared" si="13"/>
      </c>
      <c r="M55" s="9">
        <f t="shared" si="14"/>
      </c>
      <c r="N55" s="6"/>
      <c r="O55" s="6"/>
      <c r="P55" s="6"/>
      <c r="Q55" s="5">
        <f t="shared" si="15"/>
      </c>
      <c r="R55" s="50">
        <f t="shared" si="16"/>
        <v>9999</v>
      </c>
      <c r="S55" s="6">
        <f t="shared" si="17"/>
      </c>
      <c r="T55" s="57"/>
      <c r="U55" s="6">
        <f t="shared" si="18"/>
      </c>
      <c r="V55" s="57"/>
      <c r="W55" s="8"/>
      <c r="X55" s="7">
        <f t="shared" si="19"/>
      </c>
    </row>
    <row r="56" spans="2:24" ht="24.75" customHeight="1">
      <c r="B56" s="7">
        <f>_xlfn.IFERROR(IF(ISBLANK('Team Information Input'!A49),"",'Team Information Input'!A49),"")</f>
      </c>
      <c r="C56" s="3">
        <f>_xlfn.IFERROR(IF(ISBLANK('Team Information Input'!B49),"",'Team Information Input'!B49),"")</f>
      </c>
      <c r="D56" s="3">
        <f>'Team Information Input'!D49</f>
        <v>0</v>
      </c>
      <c r="E56" s="4">
        <f>_xlfn.IFERROR(I56+J56*10000+K56*100000000,_xlfn.IFERROR(I56*10000+#REF!*100000000,_xlfn.IFERROR(#REF!*100000000,"")))</f>
      </c>
      <c r="F56" s="4">
        <f>_xlfn.IFERROR(IF(B56&gt;0,VLOOKUP(B56,'Robot Performance Analysis'!B$7:G$119,4,FALSE),"TBD"),"")</f>
        <v>0</v>
      </c>
      <c r="G56" s="4">
        <f>_xlfn.IFERROR(IF(B56&gt;0,VLOOKUP(B56,'Robot Performance Analysis'!B$7:G$119,5,FALSE),"TBD"),"")</f>
        <v>0</v>
      </c>
      <c r="H56" s="4">
        <f>_xlfn.IFERROR(IF(B56&gt;0,VLOOKUP(B56,'Robot Performance Analysis'!B$7:G$119,6,FALSE),"TBD"),"")</f>
        <v>0</v>
      </c>
      <c r="I56" s="4">
        <f t="shared" si="10"/>
        <v>0</v>
      </c>
      <c r="J56" s="4">
        <f t="shared" si="11"/>
        <v>0</v>
      </c>
      <c r="K56" s="4">
        <f t="shared" si="12"/>
      </c>
      <c r="L56" s="6">
        <f t="shared" si="13"/>
      </c>
      <c r="M56" s="9">
        <f t="shared" si="14"/>
      </c>
      <c r="N56" s="6"/>
      <c r="O56" s="6"/>
      <c r="P56" s="6"/>
      <c r="Q56" s="5">
        <f t="shared" si="15"/>
      </c>
      <c r="R56" s="50">
        <f t="shared" si="16"/>
        <v>9999</v>
      </c>
      <c r="S56" s="6">
        <f t="shared" si="17"/>
      </c>
      <c r="T56" s="57"/>
      <c r="U56" s="6">
        <f t="shared" si="18"/>
      </c>
      <c r="V56" s="57"/>
      <c r="W56" s="8"/>
      <c r="X56" s="7">
        <f t="shared" si="19"/>
      </c>
    </row>
    <row r="57" spans="2:24" ht="24.75" customHeight="1">
      <c r="B57" s="7">
        <f>_xlfn.IFERROR(IF(ISBLANK('Team Information Input'!A50),"",'Team Information Input'!A50),"")</f>
      </c>
      <c r="C57" s="3">
        <f>_xlfn.IFERROR(IF(ISBLANK('Team Information Input'!B50),"",'Team Information Input'!B50),"")</f>
      </c>
      <c r="D57" s="3">
        <f>'Team Information Input'!D50</f>
        <v>0</v>
      </c>
      <c r="E57" s="4">
        <f>_xlfn.IFERROR(I57+J57*10000+K57*100000000,_xlfn.IFERROR(I57*10000+#REF!*100000000,_xlfn.IFERROR(#REF!*100000000,"")))</f>
      </c>
      <c r="F57" s="4">
        <f>_xlfn.IFERROR(IF(B57&gt;0,VLOOKUP(B57,'Robot Performance Analysis'!B$7:G$119,4,FALSE),"TBD"),"")</f>
        <v>0</v>
      </c>
      <c r="G57" s="4">
        <f>_xlfn.IFERROR(IF(B57&gt;0,VLOOKUP(B57,'Robot Performance Analysis'!B$7:G$119,5,FALSE),"TBD"),"")</f>
        <v>0</v>
      </c>
      <c r="H57" s="4">
        <f>_xlfn.IFERROR(IF(B57&gt;0,VLOOKUP(B57,'Robot Performance Analysis'!B$7:G$119,6,FALSE),"TBD"),"")</f>
        <v>0</v>
      </c>
      <c r="I57" s="4">
        <f t="shared" si="10"/>
        <v>0</v>
      </c>
      <c r="J57" s="4">
        <f t="shared" si="11"/>
        <v>0</v>
      </c>
      <c r="K57" s="4">
        <f t="shared" si="12"/>
      </c>
      <c r="L57" s="6">
        <f t="shared" si="13"/>
      </c>
      <c r="M57" s="9">
        <f t="shared" si="14"/>
      </c>
      <c r="N57" s="6"/>
      <c r="O57" s="6"/>
      <c r="P57" s="6"/>
      <c r="Q57" s="5">
        <f t="shared" si="15"/>
      </c>
      <c r="R57" s="50">
        <f t="shared" si="16"/>
        <v>9999</v>
      </c>
      <c r="S57" s="6">
        <f t="shared" si="17"/>
      </c>
      <c r="T57" s="57"/>
      <c r="U57" s="6">
        <f t="shared" si="18"/>
      </c>
      <c r="V57" s="57"/>
      <c r="W57" s="8"/>
      <c r="X57" s="7">
        <f t="shared" si="19"/>
      </c>
    </row>
    <row r="58" spans="2:24" ht="24.75" customHeight="1">
      <c r="B58" s="7">
        <f>_xlfn.IFERROR(IF(ISBLANK('Team Information Input'!A51),"",'Team Information Input'!A51),"")</f>
      </c>
      <c r="C58" s="3">
        <f>_xlfn.IFERROR(IF(ISBLANK('Team Information Input'!B51),"",'Team Information Input'!B51),"")</f>
      </c>
      <c r="D58" s="3">
        <f>'Team Information Input'!D51</f>
        <v>0</v>
      </c>
      <c r="E58" s="4">
        <f>_xlfn.IFERROR(I58+J58*10000+K58*100000000,_xlfn.IFERROR(I58*10000+#REF!*100000000,_xlfn.IFERROR(#REF!*100000000,"")))</f>
      </c>
      <c r="F58" s="4">
        <f>_xlfn.IFERROR(IF(B58&gt;0,VLOOKUP(B58,'Robot Performance Analysis'!B$7:G$119,4,FALSE),"TBD"),"")</f>
        <v>0</v>
      </c>
      <c r="G58" s="4">
        <f>_xlfn.IFERROR(IF(B58&gt;0,VLOOKUP(B58,'Robot Performance Analysis'!B$7:G$119,5,FALSE),"TBD"),"")</f>
        <v>0</v>
      </c>
      <c r="H58" s="4">
        <f>_xlfn.IFERROR(IF(B58&gt;0,VLOOKUP(B58,'Robot Performance Analysis'!B$7:G$119,6,FALSE),"TBD"),"")</f>
        <v>0</v>
      </c>
      <c r="I58" s="4">
        <f t="shared" si="10"/>
        <v>0</v>
      </c>
      <c r="J58" s="4">
        <f t="shared" si="11"/>
        <v>0</v>
      </c>
      <c r="K58" s="4">
        <f t="shared" si="12"/>
      </c>
      <c r="L58" s="6">
        <f t="shared" si="13"/>
      </c>
      <c r="M58" s="9">
        <f t="shared" si="14"/>
      </c>
      <c r="N58" s="6"/>
      <c r="O58" s="6"/>
      <c r="P58" s="6"/>
      <c r="Q58" s="5">
        <f t="shared" si="15"/>
      </c>
      <c r="R58" s="50">
        <f t="shared" si="16"/>
        <v>9999</v>
      </c>
      <c r="S58" s="6">
        <f t="shared" si="17"/>
      </c>
      <c r="T58" s="57"/>
      <c r="U58" s="6">
        <f t="shared" si="18"/>
      </c>
      <c r="V58" s="57"/>
      <c r="W58" s="8"/>
      <c r="X58" s="7">
        <f t="shared" si="19"/>
      </c>
    </row>
    <row r="59" spans="2:24" ht="24.75" customHeight="1">
      <c r="B59" s="7">
        <f>_xlfn.IFERROR(IF(ISBLANK('Team Information Input'!A52),"",'Team Information Input'!A52),"")</f>
      </c>
      <c r="C59" s="3">
        <f>_xlfn.IFERROR(IF(ISBLANK('Team Information Input'!B52),"",'Team Information Input'!B52),"")</f>
      </c>
      <c r="D59" s="3">
        <f>'Team Information Input'!D52</f>
        <v>0</v>
      </c>
      <c r="E59" s="4">
        <f>_xlfn.IFERROR(I59+J59*10000+K59*100000000,_xlfn.IFERROR(I59*10000+#REF!*100000000,_xlfn.IFERROR(#REF!*100000000,"")))</f>
      </c>
      <c r="F59" s="4">
        <f>_xlfn.IFERROR(IF(B59&gt;0,VLOOKUP(B59,'Robot Performance Analysis'!B$7:G$119,4,FALSE),"TBD"),"")</f>
        <v>0</v>
      </c>
      <c r="G59" s="4">
        <f>_xlfn.IFERROR(IF(B59&gt;0,VLOOKUP(B59,'Robot Performance Analysis'!B$7:G$119,5,FALSE),"TBD"),"")</f>
        <v>0</v>
      </c>
      <c r="H59" s="4">
        <f>_xlfn.IFERROR(IF(B59&gt;0,VLOOKUP(B59,'Robot Performance Analysis'!B$7:G$119,6,FALSE),"TBD"),"")</f>
        <v>0</v>
      </c>
      <c r="I59" s="4">
        <f t="shared" si="10"/>
        <v>0</v>
      </c>
      <c r="J59" s="4">
        <f t="shared" si="11"/>
        <v>0</v>
      </c>
      <c r="K59" s="4">
        <f t="shared" si="12"/>
      </c>
      <c r="L59" s="6">
        <f t="shared" si="13"/>
      </c>
      <c r="M59" s="9">
        <f t="shared" si="14"/>
      </c>
      <c r="N59" s="6"/>
      <c r="O59" s="6"/>
      <c r="P59" s="6"/>
      <c r="Q59" s="5">
        <f t="shared" si="15"/>
      </c>
      <c r="R59" s="50">
        <f t="shared" si="16"/>
        <v>9999</v>
      </c>
      <c r="S59" s="6">
        <f t="shared" si="17"/>
      </c>
      <c r="T59" s="57"/>
      <c r="U59" s="6">
        <f t="shared" si="18"/>
      </c>
      <c r="V59" s="57"/>
      <c r="W59" s="8"/>
      <c r="X59" s="7">
        <f t="shared" si="19"/>
      </c>
    </row>
    <row r="60" spans="2:24" ht="24.75" customHeight="1">
      <c r="B60" s="7">
        <f>_xlfn.IFERROR(IF(ISBLANK('Team Information Input'!A53),"",'Team Information Input'!A53),"")</f>
      </c>
      <c r="C60" s="3">
        <f>_xlfn.IFERROR(IF(ISBLANK('Team Information Input'!B53),"",'Team Information Input'!B53),"")</f>
      </c>
      <c r="D60" s="3">
        <f>'Team Information Input'!D53</f>
        <v>0</v>
      </c>
      <c r="E60" s="4">
        <f>_xlfn.IFERROR(I60+J60*10000+K60*100000000,_xlfn.IFERROR(I60*10000+#REF!*100000000,_xlfn.IFERROR(#REF!*100000000,"")))</f>
      </c>
      <c r="F60" s="4">
        <f>_xlfn.IFERROR(IF(B60&gt;0,VLOOKUP(B60,'Robot Performance Analysis'!B$7:G$119,4,FALSE),"TBD"),"")</f>
        <v>0</v>
      </c>
      <c r="G60" s="4">
        <f>_xlfn.IFERROR(IF(B60&gt;0,VLOOKUP(B60,'Robot Performance Analysis'!B$7:G$119,5,FALSE),"TBD"),"")</f>
        <v>0</v>
      </c>
      <c r="H60" s="4">
        <f>_xlfn.IFERROR(IF(B60&gt;0,VLOOKUP(B60,'Robot Performance Analysis'!B$7:G$119,6,FALSE),"TBD"),"")</f>
        <v>0</v>
      </c>
      <c r="I60" s="4">
        <f t="shared" si="10"/>
        <v>0</v>
      </c>
      <c r="J60" s="4">
        <f t="shared" si="11"/>
        <v>0</v>
      </c>
      <c r="K60" s="4">
        <f t="shared" si="12"/>
      </c>
      <c r="L60" s="6">
        <f t="shared" si="13"/>
      </c>
      <c r="M60" s="9">
        <f t="shared" si="14"/>
      </c>
      <c r="N60" s="6"/>
      <c r="O60" s="6"/>
      <c r="P60" s="6"/>
      <c r="Q60" s="5">
        <f t="shared" si="15"/>
      </c>
      <c r="R60" s="50">
        <f t="shared" si="16"/>
        <v>9999</v>
      </c>
      <c r="S60" s="6">
        <f t="shared" si="17"/>
      </c>
      <c r="T60" s="57"/>
      <c r="U60" s="6">
        <f t="shared" si="18"/>
      </c>
      <c r="V60" s="57"/>
      <c r="W60" s="8"/>
      <c r="X60" s="7">
        <f t="shared" si="19"/>
      </c>
    </row>
    <row r="61" spans="2:24" ht="24.75" customHeight="1">
      <c r="B61" s="7">
        <f>_xlfn.IFERROR(IF(ISBLANK('Team Information Input'!A54),"",'Team Information Input'!A54),"")</f>
      </c>
      <c r="C61" s="3">
        <f>_xlfn.IFERROR(IF(ISBLANK('Team Information Input'!B54),"",'Team Information Input'!B54),"")</f>
      </c>
      <c r="D61" s="3">
        <f>'Team Information Input'!D54</f>
        <v>0</v>
      </c>
      <c r="E61" s="4">
        <f>_xlfn.IFERROR(I61+J61*10000+K61*100000000,_xlfn.IFERROR(I61*10000+#REF!*100000000,_xlfn.IFERROR(#REF!*100000000,"")))</f>
      </c>
      <c r="F61" s="4">
        <f>_xlfn.IFERROR(IF(B61&gt;0,VLOOKUP(B61,'Robot Performance Analysis'!B$7:G$119,4,FALSE),"TBD"),"")</f>
        <v>0</v>
      </c>
      <c r="G61" s="4">
        <f>_xlfn.IFERROR(IF(B61&gt;0,VLOOKUP(B61,'Robot Performance Analysis'!B$7:G$119,5,FALSE),"TBD"),"")</f>
        <v>0</v>
      </c>
      <c r="H61" s="4">
        <f>_xlfn.IFERROR(IF(B61&gt;0,VLOOKUP(B61,'Robot Performance Analysis'!B$7:G$119,6,FALSE),"TBD"),"")</f>
        <v>0</v>
      </c>
      <c r="I61" s="4">
        <f t="shared" si="10"/>
        <v>0</v>
      </c>
      <c r="J61" s="4">
        <f t="shared" si="11"/>
        <v>0</v>
      </c>
      <c r="K61" s="4">
        <f t="shared" si="12"/>
      </c>
      <c r="L61" s="6">
        <f t="shared" si="13"/>
      </c>
      <c r="M61" s="9">
        <f t="shared" si="14"/>
      </c>
      <c r="N61" s="6"/>
      <c r="O61" s="6"/>
      <c r="P61" s="6"/>
      <c r="Q61" s="5">
        <f t="shared" si="15"/>
      </c>
      <c r="R61" s="50">
        <f t="shared" si="16"/>
        <v>9999</v>
      </c>
      <c r="S61" s="6">
        <f t="shared" si="17"/>
      </c>
      <c r="T61" s="57"/>
      <c r="U61" s="6">
        <f t="shared" si="18"/>
      </c>
      <c r="V61" s="57"/>
      <c r="W61" s="8"/>
      <c r="X61" s="7">
        <f t="shared" si="19"/>
      </c>
    </row>
    <row r="62" spans="2:24" ht="24.75" customHeight="1">
      <c r="B62" s="7">
        <f>_xlfn.IFERROR(IF(ISBLANK('Team Information Input'!A55),"",'Team Information Input'!A55),"")</f>
      </c>
      <c r="C62" s="3">
        <f>_xlfn.IFERROR(IF(ISBLANK('Team Information Input'!B55),"",'Team Information Input'!B55),"")</f>
      </c>
      <c r="D62" s="3">
        <f>'Team Information Input'!D55</f>
        <v>0</v>
      </c>
      <c r="E62" s="4">
        <f>_xlfn.IFERROR(I62+J62*10000+K62*100000000,_xlfn.IFERROR(I62*10000+#REF!*100000000,_xlfn.IFERROR(#REF!*100000000,"")))</f>
      </c>
      <c r="F62" s="4">
        <f>_xlfn.IFERROR(IF(B62&gt;0,VLOOKUP(B62,'Robot Performance Analysis'!B$7:G$119,4,FALSE),"TBD"),"")</f>
        <v>0</v>
      </c>
      <c r="G62" s="4">
        <f>_xlfn.IFERROR(IF(B62&gt;0,VLOOKUP(B62,'Robot Performance Analysis'!B$7:G$119,5,FALSE),"TBD"),"")</f>
        <v>0</v>
      </c>
      <c r="H62" s="4">
        <f>_xlfn.IFERROR(IF(B62&gt;0,VLOOKUP(B62,'Robot Performance Analysis'!B$7:G$119,6,FALSE),"TBD"),"")</f>
        <v>0</v>
      </c>
      <c r="I62" s="4">
        <f t="shared" si="10"/>
        <v>0</v>
      </c>
      <c r="J62" s="4">
        <f t="shared" si="11"/>
        <v>0</v>
      </c>
      <c r="K62" s="4">
        <f t="shared" si="12"/>
      </c>
      <c r="L62" s="6">
        <f t="shared" si="13"/>
      </c>
      <c r="M62" s="9">
        <f t="shared" si="14"/>
      </c>
      <c r="N62" s="6"/>
      <c r="O62" s="6"/>
      <c r="P62" s="6"/>
      <c r="Q62" s="5">
        <f t="shared" si="15"/>
      </c>
      <c r="R62" s="50">
        <f t="shared" si="16"/>
        <v>9999</v>
      </c>
      <c r="S62" s="6">
        <f t="shared" si="17"/>
      </c>
      <c r="T62" s="57"/>
      <c r="U62" s="6">
        <f t="shared" si="18"/>
      </c>
      <c r="V62" s="57"/>
      <c r="W62" s="8"/>
      <c r="X62" s="7">
        <f t="shared" si="19"/>
      </c>
    </row>
    <row r="63" spans="2:24" ht="24.75" customHeight="1">
      <c r="B63" s="7">
        <f>_xlfn.IFERROR(IF(ISBLANK('Team Information Input'!A56),"",'Team Information Input'!A56),"")</f>
      </c>
      <c r="C63" s="3">
        <f>_xlfn.IFERROR(IF(ISBLANK('Team Information Input'!B56),"",'Team Information Input'!B56),"")</f>
      </c>
      <c r="D63" s="3">
        <f>'Team Information Input'!D56</f>
        <v>0</v>
      </c>
      <c r="E63" s="4">
        <f>_xlfn.IFERROR(I63+J63*10000+K63*100000000,_xlfn.IFERROR(I63*10000+#REF!*100000000,_xlfn.IFERROR(#REF!*100000000,"")))</f>
      </c>
      <c r="F63" s="4">
        <f>_xlfn.IFERROR(IF(B63&gt;0,VLOOKUP(B63,'Robot Performance Analysis'!B$7:G$119,4,FALSE),"TBD"),"")</f>
        <v>0</v>
      </c>
      <c r="G63" s="4">
        <f>_xlfn.IFERROR(IF(B63&gt;0,VLOOKUP(B63,'Robot Performance Analysis'!B$7:G$119,5,FALSE),"TBD"),"")</f>
        <v>0</v>
      </c>
      <c r="H63" s="4">
        <f>_xlfn.IFERROR(IF(B63&gt;0,VLOOKUP(B63,'Robot Performance Analysis'!B$7:G$119,6,FALSE),"TBD"),"")</f>
        <v>0</v>
      </c>
      <c r="I63" s="4">
        <f t="shared" si="10"/>
        <v>0</v>
      </c>
      <c r="J63" s="4">
        <f t="shared" si="11"/>
        <v>0</v>
      </c>
      <c r="K63" s="4">
        <f t="shared" si="12"/>
      </c>
      <c r="L63" s="6">
        <f t="shared" si="13"/>
      </c>
      <c r="M63" s="9">
        <f t="shared" si="14"/>
      </c>
      <c r="N63" s="6"/>
      <c r="O63" s="6"/>
      <c r="P63" s="6"/>
      <c r="Q63" s="5">
        <f t="shared" si="15"/>
      </c>
      <c r="R63" s="50">
        <f t="shared" si="16"/>
        <v>9999</v>
      </c>
      <c r="S63" s="6">
        <f t="shared" si="17"/>
      </c>
      <c r="T63" s="57"/>
      <c r="U63" s="6">
        <f t="shared" si="18"/>
      </c>
      <c r="V63" s="57"/>
      <c r="W63" s="8"/>
      <c r="X63" s="7">
        <f t="shared" si="19"/>
      </c>
    </row>
    <row r="64" spans="2:24" ht="24.75" customHeight="1">
      <c r="B64" s="7">
        <f>_xlfn.IFERROR(IF(ISBLANK('Team Information Input'!A57),"",'Team Information Input'!A57),"")</f>
      </c>
      <c r="C64" s="3">
        <f>_xlfn.IFERROR(IF(ISBLANK('Team Information Input'!B57),"",'Team Information Input'!B57),"")</f>
      </c>
      <c r="D64" s="3">
        <f>'Team Information Input'!D57</f>
        <v>0</v>
      </c>
      <c r="E64" s="4">
        <f>_xlfn.IFERROR(I64+J64*10000+K64*100000000,_xlfn.IFERROR(I64*10000+#REF!*100000000,_xlfn.IFERROR(#REF!*100000000,"")))</f>
      </c>
      <c r="F64" s="4">
        <f>_xlfn.IFERROR(IF(B64&gt;0,VLOOKUP(B64,'Robot Performance Analysis'!B$7:G$119,4,FALSE),"TBD"),"")</f>
        <v>0</v>
      </c>
      <c r="G64" s="4">
        <f>_xlfn.IFERROR(IF(B64&gt;0,VLOOKUP(B64,'Robot Performance Analysis'!B$7:G$119,5,FALSE),"TBD"),"")</f>
        <v>0</v>
      </c>
      <c r="H64" s="4">
        <f>_xlfn.IFERROR(IF(B64&gt;0,VLOOKUP(B64,'Robot Performance Analysis'!B$7:G$119,6,FALSE),"TBD"),"")</f>
        <v>0</v>
      </c>
      <c r="I64" s="4">
        <f t="shared" si="10"/>
        <v>0</v>
      </c>
      <c r="J64" s="4">
        <f t="shared" si="11"/>
        <v>0</v>
      </c>
      <c r="K64" s="4">
        <f t="shared" si="12"/>
      </c>
      <c r="L64" s="6">
        <f t="shared" si="13"/>
      </c>
      <c r="M64" s="9">
        <f t="shared" si="14"/>
      </c>
      <c r="N64" s="6"/>
      <c r="O64" s="6"/>
      <c r="P64" s="6"/>
      <c r="Q64" s="5">
        <f t="shared" si="15"/>
      </c>
      <c r="R64" s="50">
        <f t="shared" si="16"/>
        <v>9999</v>
      </c>
      <c r="S64" s="6">
        <f t="shared" si="17"/>
      </c>
      <c r="T64" s="57"/>
      <c r="U64" s="6">
        <f t="shared" si="18"/>
      </c>
      <c r="V64" s="57"/>
      <c r="W64" s="8"/>
      <c r="X64" s="7">
        <f t="shared" si="19"/>
      </c>
    </row>
    <row r="65" spans="2:24" ht="24.75" customHeight="1">
      <c r="B65" s="7">
        <f>_xlfn.IFERROR(IF(ISBLANK('Team Information Input'!A58),"",'Team Information Input'!A58),"")</f>
      </c>
      <c r="C65" s="3">
        <f>_xlfn.IFERROR(IF(ISBLANK('Team Information Input'!B58),"",'Team Information Input'!B58),"")</f>
      </c>
      <c r="D65" s="3">
        <f>'Team Information Input'!D58</f>
        <v>0</v>
      </c>
      <c r="E65" s="4">
        <f>_xlfn.IFERROR(I65+J65*10000+K65*100000000,_xlfn.IFERROR(I65*10000+#REF!*100000000,_xlfn.IFERROR(#REF!*100000000,"")))</f>
      </c>
      <c r="F65" s="4">
        <f>_xlfn.IFERROR(IF(B65&gt;0,VLOOKUP(B65,'Robot Performance Analysis'!B$7:G$119,4,FALSE),"TBD"),"")</f>
        <v>0</v>
      </c>
      <c r="G65" s="4">
        <f>_xlfn.IFERROR(IF(B65&gt;0,VLOOKUP(B65,'Robot Performance Analysis'!B$7:G$119,5,FALSE),"TBD"),"")</f>
        <v>0</v>
      </c>
      <c r="H65" s="4">
        <f>_xlfn.IFERROR(IF(B65&gt;0,VLOOKUP(B65,'Robot Performance Analysis'!B$7:G$119,6,FALSE),"TBD"),"")</f>
        <v>0</v>
      </c>
      <c r="I65" s="4">
        <f t="shared" si="10"/>
        <v>0</v>
      </c>
      <c r="J65" s="4">
        <f t="shared" si="11"/>
        <v>0</v>
      </c>
      <c r="K65" s="4">
        <f t="shared" si="12"/>
      </c>
      <c r="L65" s="6">
        <f t="shared" si="13"/>
      </c>
      <c r="M65" s="9">
        <f t="shared" si="14"/>
      </c>
      <c r="N65" s="6"/>
      <c r="O65" s="6"/>
      <c r="P65" s="6"/>
      <c r="Q65" s="5">
        <f t="shared" si="15"/>
      </c>
      <c r="R65" s="50">
        <f t="shared" si="16"/>
        <v>9999</v>
      </c>
      <c r="S65" s="6">
        <f t="shared" si="17"/>
      </c>
      <c r="T65" s="57"/>
      <c r="U65" s="6">
        <f t="shared" si="18"/>
      </c>
      <c r="V65" s="57"/>
      <c r="W65" s="8"/>
      <c r="X65" s="7">
        <f t="shared" si="19"/>
      </c>
    </row>
    <row r="66" spans="2:24" ht="24.75" customHeight="1">
      <c r="B66" s="7">
        <f>_xlfn.IFERROR(IF(ISBLANK('Team Information Input'!A59),"",'Team Information Input'!A59),"")</f>
      </c>
      <c r="C66" s="3">
        <f>_xlfn.IFERROR(IF(ISBLANK('Team Information Input'!B59),"",'Team Information Input'!B59),"")</f>
      </c>
      <c r="D66" s="3">
        <f>'Team Information Input'!D59</f>
        <v>0</v>
      </c>
      <c r="E66" s="4">
        <f>_xlfn.IFERROR(I66+J66*10000+K66*100000000,_xlfn.IFERROR(I66*10000+#REF!*100000000,_xlfn.IFERROR(#REF!*100000000,"")))</f>
      </c>
      <c r="F66" s="4">
        <f>_xlfn.IFERROR(IF(B66&gt;0,VLOOKUP(B66,'Robot Performance Analysis'!B$7:G$119,4,FALSE),"TBD"),"")</f>
        <v>0</v>
      </c>
      <c r="G66" s="4">
        <f>_xlfn.IFERROR(IF(B66&gt;0,VLOOKUP(B66,'Robot Performance Analysis'!B$7:G$119,5,FALSE),"TBD"),"")</f>
        <v>0</v>
      </c>
      <c r="H66" s="4">
        <f>_xlfn.IFERROR(IF(B66&gt;0,VLOOKUP(B66,'Robot Performance Analysis'!B$7:G$119,6,FALSE),"TBD"),"")</f>
        <v>0</v>
      </c>
      <c r="I66" s="4">
        <f t="shared" si="10"/>
        <v>0</v>
      </c>
      <c r="J66" s="4">
        <f t="shared" si="11"/>
        <v>0</v>
      </c>
      <c r="K66" s="4">
        <f t="shared" si="12"/>
      </c>
      <c r="L66" s="6">
        <f t="shared" si="13"/>
      </c>
      <c r="M66" s="9">
        <f t="shared" si="14"/>
      </c>
      <c r="N66" s="6"/>
      <c r="O66" s="6"/>
      <c r="P66" s="6"/>
      <c r="Q66" s="5">
        <f t="shared" si="15"/>
      </c>
      <c r="R66" s="50">
        <f t="shared" si="16"/>
        <v>9999</v>
      </c>
      <c r="S66" s="6">
        <f t="shared" si="17"/>
      </c>
      <c r="T66" s="57"/>
      <c r="U66" s="6">
        <f t="shared" si="18"/>
      </c>
      <c r="V66" s="57"/>
      <c r="W66" s="8"/>
      <c r="X66" s="7">
        <f t="shared" si="19"/>
      </c>
    </row>
    <row r="67" spans="2:24" ht="24.75" customHeight="1">
      <c r="B67" s="7">
        <f>_xlfn.IFERROR(IF(ISBLANK('Team Information Input'!A60),"",'Team Information Input'!A60),"")</f>
      </c>
      <c r="C67" s="3">
        <f>_xlfn.IFERROR(IF(ISBLANK('Team Information Input'!B60),"",'Team Information Input'!B60),"")</f>
      </c>
      <c r="D67" s="3">
        <f>'Team Information Input'!D60</f>
        <v>0</v>
      </c>
      <c r="E67" s="4">
        <f>_xlfn.IFERROR(I67+J67*10000+K67*100000000,_xlfn.IFERROR(I67*10000+#REF!*100000000,_xlfn.IFERROR(#REF!*100000000,"")))</f>
      </c>
      <c r="F67" s="4">
        <f>_xlfn.IFERROR(IF(B67&gt;0,VLOOKUP(B67,'Robot Performance Analysis'!B$7:G$119,4,FALSE),"TBD"),"")</f>
        <v>0</v>
      </c>
      <c r="G67" s="4">
        <f>_xlfn.IFERROR(IF(B67&gt;0,VLOOKUP(B67,'Robot Performance Analysis'!B$7:G$119,5,FALSE),"TBD"),"")</f>
        <v>0</v>
      </c>
      <c r="H67" s="4">
        <f>_xlfn.IFERROR(IF(B67&gt;0,VLOOKUP(B67,'Robot Performance Analysis'!B$7:G$119,6,FALSE),"TBD"),"")</f>
        <v>0</v>
      </c>
      <c r="I67" s="4">
        <f t="shared" si="10"/>
        <v>0</v>
      </c>
      <c r="J67" s="4">
        <f t="shared" si="11"/>
        <v>0</v>
      </c>
      <c r="K67" s="4">
        <f t="shared" si="12"/>
      </c>
      <c r="L67" s="6">
        <f t="shared" si="13"/>
      </c>
      <c r="M67" s="9">
        <f t="shared" si="14"/>
      </c>
      <c r="N67" s="6"/>
      <c r="O67" s="6"/>
      <c r="P67" s="6"/>
      <c r="Q67" s="5">
        <f t="shared" si="15"/>
      </c>
      <c r="R67" s="50">
        <f t="shared" si="16"/>
        <v>9999</v>
      </c>
      <c r="S67" s="6">
        <f t="shared" si="17"/>
      </c>
      <c r="T67" s="57"/>
      <c r="U67" s="6">
        <f t="shared" si="18"/>
      </c>
      <c r="V67" s="57"/>
      <c r="W67" s="8"/>
      <c r="X67" s="7">
        <f t="shared" si="19"/>
      </c>
    </row>
    <row r="68" spans="2:24" ht="24.75" customHeight="1">
      <c r="B68" s="7">
        <f>_xlfn.IFERROR(IF(ISBLANK('Team Information Input'!A61),"",'Team Information Input'!A61),"")</f>
      </c>
      <c r="C68" s="3">
        <f>_xlfn.IFERROR(IF(ISBLANK('Team Information Input'!B61),"",'Team Information Input'!B61),"")</f>
      </c>
      <c r="D68" s="3">
        <f>'Team Information Input'!D61</f>
        <v>0</v>
      </c>
      <c r="E68" s="4">
        <f>_xlfn.IFERROR(I68+J68*10000+K68*100000000,_xlfn.IFERROR(I68*10000+#REF!*100000000,_xlfn.IFERROR(#REF!*100000000,"")))</f>
      </c>
      <c r="F68" s="4">
        <f>_xlfn.IFERROR(IF(B68&gt;0,VLOOKUP(B68,'Robot Performance Analysis'!B$7:G$119,4,FALSE),"TBD"),"")</f>
        <v>0</v>
      </c>
      <c r="G68" s="4">
        <f>_xlfn.IFERROR(IF(B68&gt;0,VLOOKUP(B68,'Robot Performance Analysis'!B$7:G$119,5,FALSE),"TBD"),"")</f>
        <v>0</v>
      </c>
      <c r="H68" s="4">
        <f>_xlfn.IFERROR(IF(B68&gt;0,VLOOKUP(B68,'Robot Performance Analysis'!B$7:G$119,6,FALSE),"TBD"),"")</f>
        <v>0</v>
      </c>
      <c r="I68" s="4">
        <f t="shared" si="10"/>
        <v>0</v>
      </c>
      <c r="J68" s="4">
        <f t="shared" si="11"/>
        <v>0</v>
      </c>
      <c r="K68" s="4">
        <f t="shared" si="12"/>
      </c>
      <c r="L68" s="6">
        <f t="shared" si="13"/>
      </c>
      <c r="M68" s="9">
        <f t="shared" si="14"/>
      </c>
      <c r="N68" s="6"/>
      <c r="O68" s="6"/>
      <c r="P68" s="6"/>
      <c r="Q68" s="5">
        <f t="shared" si="15"/>
      </c>
      <c r="R68" s="50">
        <f t="shared" si="16"/>
        <v>9999</v>
      </c>
      <c r="S68" s="6">
        <f t="shared" si="17"/>
      </c>
      <c r="T68" s="57"/>
      <c r="U68" s="6">
        <f t="shared" si="18"/>
      </c>
      <c r="V68" s="57"/>
      <c r="W68" s="8"/>
      <c r="X68" s="7">
        <f t="shared" si="19"/>
      </c>
    </row>
    <row r="69" spans="2:24" ht="24.75" customHeight="1">
      <c r="B69" s="7">
        <f>_xlfn.IFERROR(IF(ISBLANK('Team Information Input'!A62),"",'Team Information Input'!A62),"")</f>
      </c>
      <c r="C69" s="3">
        <f>_xlfn.IFERROR(IF(ISBLANK('Team Information Input'!B62),"",'Team Information Input'!B62),"")</f>
      </c>
      <c r="D69" s="3">
        <f>'Team Information Input'!D62</f>
        <v>0</v>
      </c>
      <c r="E69" s="4">
        <f>_xlfn.IFERROR(I69+J69*10000+K69*100000000,_xlfn.IFERROR(I69*10000+#REF!*100000000,_xlfn.IFERROR(#REF!*100000000,"")))</f>
      </c>
      <c r="F69" s="4">
        <f>_xlfn.IFERROR(IF(B69&gt;0,VLOOKUP(B69,'Robot Performance Analysis'!B$7:G$119,4,FALSE),"TBD"),"")</f>
        <v>0</v>
      </c>
      <c r="G69" s="4">
        <f>_xlfn.IFERROR(IF(B69&gt;0,VLOOKUP(B69,'Robot Performance Analysis'!B$7:G$119,5,FALSE),"TBD"),"")</f>
        <v>0</v>
      </c>
      <c r="H69" s="4">
        <f>_xlfn.IFERROR(IF(B69&gt;0,VLOOKUP(B69,'Robot Performance Analysis'!B$7:G$119,6,FALSE),"TBD"),"")</f>
        <v>0</v>
      </c>
      <c r="I69" s="4">
        <f t="shared" si="10"/>
        <v>0</v>
      </c>
      <c r="J69" s="4">
        <f t="shared" si="11"/>
        <v>0</v>
      </c>
      <c r="K69" s="4">
        <f t="shared" si="12"/>
      </c>
      <c r="L69" s="6">
        <f t="shared" si="13"/>
      </c>
      <c r="M69" s="9">
        <f t="shared" si="14"/>
      </c>
      <c r="N69" s="6"/>
      <c r="O69" s="6"/>
      <c r="P69" s="6"/>
      <c r="Q69" s="5">
        <f t="shared" si="15"/>
      </c>
      <c r="R69" s="50">
        <f t="shared" si="16"/>
        <v>9999</v>
      </c>
      <c r="S69" s="6">
        <f t="shared" si="17"/>
      </c>
      <c r="T69" s="57"/>
      <c r="U69" s="6">
        <f t="shared" si="18"/>
      </c>
      <c r="V69" s="57"/>
      <c r="W69" s="8"/>
      <c r="X69" s="7">
        <f t="shared" si="19"/>
      </c>
    </row>
    <row r="70" spans="2:24" ht="24.75" customHeight="1">
      <c r="B70" s="7">
        <f>_xlfn.IFERROR(IF(ISBLANK('Team Information Input'!A63),"",'Team Information Input'!A63),"")</f>
      </c>
      <c r="C70" s="3">
        <f>_xlfn.IFERROR(IF(ISBLANK('Team Information Input'!B63),"",'Team Information Input'!B63),"")</f>
      </c>
      <c r="D70" s="3">
        <f>'Team Information Input'!D63</f>
        <v>0</v>
      </c>
      <c r="E70" s="4">
        <f>_xlfn.IFERROR(I70+J70*10000+K70*100000000,_xlfn.IFERROR(I70*10000+#REF!*100000000,_xlfn.IFERROR(#REF!*100000000,"")))</f>
      </c>
      <c r="F70" s="4">
        <f>_xlfn.IFERROR(IF(B70&gt;0,VLOOKUP(B70,'Robot Performance Analysis'!B$7:G$119,4,FALSE),"TBD"),"")</f>
        <v>0</v>
      </c>
      <c r="G70" s="4">
        <f>_xlfn.IFERROR(IF(B70&gt;0,VLOOKUP(B70,'Robot Performance Analysis'!B$7:G$119,5,FALSE),"TBD"),"")</f>
        <v>0</v>
      </c>
      <c r="H70" s="4">
        <f>_xlfn.IFERROR(IF(B70&gt;0,VLOOKUP(B70,'Robot Performance Analysis'!B$7:G$119,6,FALSE),"TBD"),"")</f>
        <v>0</v>
      </c>
      <c r="I70" s="4">
        <f t="shared" si="10"/>
        <v>0</v>
      </c>
      <c r="J70" s="4">
        <f t="shared" si="11"/>
        <v>0</v>
      </c>
      <c r="K70" s="4">
        <f t="shared" si="12"/>
      </c>
      <c r="L70" s="6">
        <f t="shared" si="13"/>
      </c>
      <c r="M70" s="9">
        <f t="shared" si="14"/>
      </c>
      <c r="N70" s="6"/>
      <c r="O70" s="6"/>
      <c r="P70" s="6"/>
      <c r="Q70" s="5">
        <f t="shared" si="15"/>
      </c>
      <c r="R70" s="50">
        <f t="shared" si="16"/>
        <v>9999</v>
      </c>
      <c r="S70" s="6">
        <f t="shared" si="17"/>
      </c>
      <c r="T70" s="57"/>
      <c r="U70" s="6">
        <f t="shared" si="18"/>
      </c>
      <c r="V70" s="57"/>
      <c r="W70" s="8"/>
      <c r="X70" s="7">
        <f t="shared" si="19"/>
      </c>
    </row>
    <row r="71" spans="2:24" ht="24.75" customHeight="1">
      <c r="B71" s="7">
        <f>_xlfn.IFERROR(IF(ISBLANK('Team Information Input'!A64),"",'Team Information Input'!A64),"")</f>
      </c>
      <c r="C71" s="3">
        <f>_xlfn.IFERROR(IF(ISBLANK('Team Information Input'!B64),"",'Team Information Input'!B64),"")</f>
      </c>
      <c r="D71" s="3">
        <f>'Team Information Input'!D64</f>
        <v>0</v>
      </c>
      <c r="E71" s="4">
        <f>_xlfn.IFERROR(I71+J71*10000+K71*100000000,_xlfn.IFERROR(I71*10000+#REF!*100000000,_xlfn.IFERROR(#REF!*100000000,"")))</f>
      </c>
      <c r="F71" s="4">
        <f>_xlfn.IFERROR(IF(B71&gt;0,VLOOKUP(B71,'Robot Performance Analysis'!B$7:G$119,4,FALSE),"TBD"),"")</f>
        <v>0</v>
      </c>
      <c r="G71" s="4">
        <f>_xlfn.IFERROR(IF(B71&gt;0,VLOOKUP(B71,'Robot Performance Analysis'!B$7:G$119,5,FALSE),"TBD"),"")</f>
        <v>0</v>
      </c>
      <c r="H71" s="4">
        <f>_xlfn.IFERROR(IF(B71&gt;0,VLOOKUP(B71,'Robot Performance Analysis'!B$7:G$119,6,FALSE),"TBD"),"")</f>
        <v>0</v>
      </c>
      <c r="I71" s="4">
        <f t="shared" si="10"/>
        <v>0</v>
      </c>
      <c r="J71" s="4">
        <f t="shared" si="11"/>
        <v>0</v>
      </c>
      <c r="K71" s="4">
        <f t="shared" si="12"/>
      </c>
      <c r="L71" s="6">
        <f t="shared" si="13"/>
      </c>
      <c r="M71" s="9">
        <f t="shared" si="14"/>
      </c>
      <c r="N71" s="6"/>
      <c r="O71" s="6"/>
      <c r="P71" s="6"/>
      <c r="Q71" s="5">
        <f t="shared" si="15"/>
      </c>
      <c r="R71" s="50">
        <f t="shared" si="16"/>
        <v>9999</v>
      </c>
      <c r="S71" s="6">
        <f t="shared" si="17"/>
      </c>
      <c r="T71" s="57"/>
      <c r="U71" s="6">
        <f t="shared" si="18"/>
      </c>
      <c r="V71" s="57"/>
      <c r="W71" s="8"/>
      <c r="X71" s="7">
        <f t="shared" si="19"/>
      </c>
    </row>
    <row r="72" spans="2:24" ht="24.75" customHeight="1">
      <c r="B72" s="7">
        <f>_xlfn.IFERROR(IF(ISBLANK('Team Information Input'!A65),"",'Team Information Input'!A65),"")</f>
      </c>
      <c r="C72" s="3">
        <f>_xlfn.IFERROR(IF(ISBLANK('Team Information Input'!B65),"",'Team Information Input'!B65),"")</f>
      </c>
      <c r="D72" s="3">
        <f>'Team Information Input'!D65</f>
        <v>0</v>
      </c>
      <c r="E72" s="4">
        <f>_xlfn.IFERROR(I72+J72*10000+K72*100000000,_xlfn.IFERROR(I72*10000+#REF!*100000000,_xlfn.IFERROR(#REF!*100000000,"")))</f>
      </c>
      <c r="F72" s="4">
        <f>_xlfn.IFERROR(IF(B72&gt;0,VLOOKUP(B72,'Robot Performance Analysis'!B$7:G$119,4,FALSE),"TBD"),"")</f>
        <v>0</v>
      </c>
      <c r="G72" s="4">
        <f>_xlfn.IFERROR(IF(B72&gt;0,VLOOKUP(B72,'Robot Performance Analysis'!B$7:G$119,5,FALSE),"TBD"),"")</f>
        <v>0</v>
      </c>
      <c r="H72" s="4">
        <f>_xlfn.IFERROR(IF(B72&gt;0,VLOOKUP(B72,'Robot Performance Analysis'!B$7:G$119,6,FALSE),"TBD"),"")</f>
        <v>0</v>
      </c>
      <c r="I72" s="4">
        <f t="shared" si="10"/>
        <v>0</v>
      </c>
      <c r="J72" s="4">
        <f t="shared" si="11"/>
        <v>0</v>
      </c>
      <c r="K72" s="4">
        <f t="shared" si="12"/>
      </c>
      <c r="L72" s="6">
        <f t="shared" si="13"/>
      </c>
      <c r="M72" s="9">
        <f t="shared" si="14"/>
      </c>
      <c r="N72" s="6"/>
      <c r="O72" s="6"/>
      <c r="P72" s="6"/>
      <c r="Q72" s="5">
        <f t="shared" si="15"/>
      </c>
      <c r="R72" s="50">
        <f t="shared" si="16"/>
        <v>9999</v>
      </c>
      <c r="S72" s="6">
        <f t="shared" si="17"/>
      </c>
      <c r="T72" s="57"/>
      <c r="U72" s="6">
        <f t="shared" si="18"/>
      </c>
      <c r="V72" s="57"/>
      <c r="W72" s="8"/>
      <c r="X72" s="7">
        <f t="shared" si="19"/>
      </c>
    </row>
    <row r="73" spans="2:24" ht="24.75" customHeight="1">
      <c r="B73" s="7">
        <f>_xlfn.IFERROR(IF(ISBLANK('Team Information Input'!A66),"",'Team Information Input'!A66),"")</f>
      </c>
      <c r="C73" s="3">
        <f>_xlfn.IFERROR(IF(ISBLANK('Team Information Input'!B66),"",'Team Information Input'!B66),"")</f>
      </c>
      <c r="D73" s="3">
        <f>'Team Information Input'!D66</f>
        <v>0</v>
      </c>
      <c r="E73" s="4">
        <f>_xlfn.IFERROR(I73+J73*10000+K73*100000000,_xlfn.IFERROR(I73*10000+#REF!*100000000,_xlfn.IFERROR(#REF!*100000000,"")))</f>
      </c>
      <c r="F73" s="4">
        <f>_xlfn.IFERROR(IF(B73&gt;0,VLOOKUP(B73,'Robot Performance Analysis'!B$7:G$119,4,FALSE),"TBD"),"")</f>
        <v>0</v>
      </c>
      <c r="G73" s="4">
        <f>_xlfn.IFERROR(IF(B73&gt;0,VLOOKUP(B73,'Robot Performance Analysis'!B$7:G$119,5,FALSE),"TBD"),"")</f>
        <v>0</v>
      </c>
      <c r="H73" s="4">
        <f>_xlfn.IFERROR(IF(B73&gt;0,VLOOKUP(B73,'Robot Performance Analysis'!B$7:G$119,6,FALSE),"TBD"),"")</f>
        <v>0</v>
      </c>
      <c r="I73" s="4">
        <f aca="true" t="shared" si="20" ref="I73:I104">_xlfn.IFERROR(IF(COUNTA(F73:H73)&gt;1,MIN(F73:H73),""),"")</f>
        <v>0</v>
      </c>
      <c r="J73" s="4">
        <f aca="true" t="shared" si="21" ref="J73:J104">_xlfn.IFERROR(IF(COUNTA(F73:H73)&gt;2,MEDIAN(F73:H73)," ")," ")</f>
        <v>0</v>
      </c>
      <c r="K73" s="4">
        <f aca="true" t="shared" si="22" ref="K73:K104">_xlfn.IFERROR(IF(SUM(F73:H73)&gt;0,MAX(F73:H73),""),"")</f>
      </c>
      <c r="L73" s="6">
        <f aca="true" t="shared" si="23" ref="L73:L104">IF(ISNUMBER(K73),IF(F73="TBD","TBD",RANK(E73,E$1:E$65536,0)),"")</f>
      </c>
      <c r="M73" s="9">
        <f aca="true" t="shared" si="24" ref="M73:M104">IF(ISNUMBER(L73),IF(F73="TBD","TBD",L73/MAX(L$1:L$65536)),"")</f>
      </c>
      <c r="N73" s="6"/>
      <c r="O73" s="6"/>
      <c r="P73" s="6"/>
      <c r="Q73" s="5">
        <f aca="true" t="shared" si="25" ref="Q73:Q104">IF(B73="","",IF(AND(ISNUMBER(N73),ISNUMBER(O73),ISNUMBER(P73)),N73+O73+P73,"Ineligible"))</f>
      </c>
      <c r="R73" s="50">
        <f aca="true" t="shared" si="26" ref="R73:R104">_xlfn.IFERROR(STDEV(O73:Q73),9999)</f>
        <v>9999</v>
      </c>
      <c r="S73" s="6">
        <f aca="true" t="shared" si="27" ref="S73:S104">IF(ISBLANK(B73),"",IF(ISNUMBER(Q73),RANK(Q73,Q$1:Q$65536,1),""))</f>
      </c>
      <c r="T73" s="57"/>
      <c r="U73" s="6">
        <f aca="true" t="shared" si="28" ref="U73:U104">_xlfn.IFERROR(VLOOKUP(T73,T83:W312,2,0),"")</f>
      </c>
      <c r="V73" s="57"/>
      <c r="W73" s="8"/>
      <c r="X73" s="7">
        <f aca="true" t="shared" si="29" ref="X73:X104">_xlfn.IFERROR(B73,"")</f>
      </c>
    </row>
    <row r="74" spans="2:24" ht="24.75" customHeight="1">
      <c r="B74" s="7">
        <f>_xlfn.IFERROR(IF(ISBLANK('Team Information Input'!A67),"",'Team Information Input'!A67),"")</f>
      </c>
      <c r="C74" s="3">
        <f>_xlfn.IFERROR(IF(ISBLANK('Team Information Input'!B67),"",'Team Information Input'!B67),"")</f>
      </c>
      <c r="D74" s="3">
        <f>'Team Information Input'!D67</f>
        <v>0</v>
      </c>
      <c r="E74" s="4">
        <f>_xlfn.IFERROR(I74+J74*10000+K74*100000000,_xlfn.IFERROR(I74*10000+#REF!*100000000,_xlfn.IFERROR(#REF!*100000000,"")))</f>
      </c>
      <c r="F74" s="4">
        <f>_xlfn.IFERROR(IF(B74&gt;0,VLOOKUP(B74,'Robot Performance Analysis'!B$7:G$119,4,FALSE),"TBD"),"")</f>
        <v>0</v>
      </c>
      <c r="G74" s="4">
        <f>_xlfn.IFERROR(IF(B74&gt;0,VLOOKUP(B74,'Robot Performance Analysis'!B$7:G$119,5,FALSE),"TBD"),"")</f>
        <v>0</v>
      </c>
      <c r="H74" s="4">
        <f>_xlfn.IFERROR(IF(B74&gt;0,VLOOKUP(B74,'Robot Performance Analysis'!B$7:G$119,6,FALSE),"TBD"),"")</f>
        <v>0</v>
      </c>
      <c r="I74" s="4">
        <f t="shared" si="20"/>
        <v>0</v>
      </c>
      <c r="J74" s="4">
        <f t="shared" si="21"/>
        <v>0</v>
      </c>
      <c r="K74" s="4">
        <f t="shared" si="22"/>
      </c>
      <c r="L74" s="6">
        <f t="shared" si="23"/>
      </c>
      <c r="M74" s="9">
        <f t="shared" si="24"/>
      </c>
      <c r="N74" s="6"/>
      <c r="O74" s="6"/>
      <c r="P74" s="6"/>
      <c r="Q74" s="5">
        <f t="shared" si="25"/>
      </c>
      <c r="R74" s="50">
        <f t="shared" si="26"/>
        <v>9999</v>
      </c>
      <c r="S74" s="6">
        <f t="shared" si="27"/>
      </c>
      <c r="T74" s="57"/>
      <c r="U74" s="6">
        <f t="shared" si="28"/>
      </c>
      <c r="V74" s="57"/>
      <c r="W74" s="8"/>
      <c r="X74" s="7">
        <f t="shared" si="29"/>
      </c>
    </row>
    <row r="75" spans="2:24" ht="24.75" customHeight="1">
      <c r="B75" s="7">
        <f>_xlfn.IFERROR(IF(ISBLANK('Team Information Input'!A68),"",'Team Information Input'!A68),"")</f>
      </c>
      <c r="C75" s="3">
        <f>_xlfn.IFERROR(IF(ISBLANK('Team Information Input'!B68),"",'Team Information Input'!B68),"")</f>
      </c>
      <c r="D75" s="3">
        <f>'Team Information Input'!D68</f>
        <v>0</v>
      </c>
      <c r="E75" s="4">
        <f>_xlfn.IFERROR(I75+J75*10000+K75*100000000,_xlfn.IFERROR(I75*10000+#REF!*100000000,_xlfn.IFERROR(#REF!*100000000,"")))</f>
      </c>
      <c r="F75" s="4">
        <f>_xlfn.IFERROR(IF(B75&gt;0,VLOOKUP(B75,'Robot Performance Analysis'!B$7:G$119,4,FALSE),"TBD"),"")</f>
        <v>0</v>
      </c>
      <c r="G75" s="4">
        <f>_xlfn.IFERROR(IF(B75&gt;0,VLOOKUP(B75,'Robot Performance Analysis'!B$7:G$119,5,FALSE),"TBD"),"")</f>
        <v>0</v>
      </c>
      <c r="H75" s="4">
        <f>_xlfn.IFERROR(IF(B75&gt;0,VLOOKUP(B75,'Robot Performance Analysis'!B$7:G$119,6,FALSE),"TBD"),"")</f>
        <v>0</v>
      </c>
      <c r="I75" s="4">
        <f t="shared" si="20"/>
        <v>0</v>
      </c>
      <c r="J75" s="4">
        <f t="shared" si="21"/>
        <v>0</v>
      </c>
      <c r="K75" s="4">
        <f t="shared" si="22"/>
      </c>
      <c r="L75" s="6">
        <f t="shared" si="23"/>
      </c>
      <c r="M75" s="9">
        <f t="shared" si="24"/>
      </c>
      <c r="N75" s="6"/>
      <c r="O75" s="6"/>
      <c r="P75" s="6"/>
      <c r="Q75" s="5">
        <f t="shared" si="25"/>
      </c>
      <c r="R75" s="50">
        <f t="shared" si="26"/>
        <v>9999</v>
      </c>
      <c r="S75" s="6">
        <f t="shared" si="27"/>
      </c>
      <c r="T75" s="57"/>
      <c r="U75" s="6">
        <f t="shared" si="28"/>
      </c>
      <c r="V75" s="57"/>
      <c r="W75" s="8"/>
      <c r="X75" s="7">
        <f t="shared" si="29"/>
      </c>
    </row>
    <row r="76" spans="2:24" ht="24.75" customHeight="1">
      <c r="B76" s="7">
        <f>_xlfn.IFERROR(IF(ISBLANK('Team Information Input'!A69),"",'Team Information Input'!A69),"")</f>
      </c>
      <c r="C76" s="3">
        <f>_xlfn.IFERROR(IF(ISBLANK('Team Information Input'!B69),"",'Team Information Input'!B69),"")</f>
      </c>
      <c r="D76" s="3">
        <f>'Team Information Input'!D69</f>
        <v>0</v>
      </c>
      <c r="E76" s="4">
        <f>_xlfn.IFERROR(I76+J76*10000+K76*100000000,_xlfn.IFERROR(I76*10000+#REF!*100000000,_xlfn.IFERROR(#REF!*100000000,"")))</f>
      </c>
      <c r="F76" s="4">
        <f>_xlfn.IFERROR(IF(B76&gt;0,VLOOKUP(B76,'Robot Performance Analysis'!B$7:G$119,4,FALSE),"TBD"),"")</f>
        <v>0</v>
      </c>
      <c r="G76" s="4">
        <f>_xlfn.IFERROR(IF(B76&gt;0,VLOOKUP(B76,'Robot Performance Analysis'!B$7:G$119,5,FALSE),"TBD"),"")</f>
        <v>0</v>
      </c>
      <c r="H76" s="4">
        <f>_xlfn.IFERROR(IF(B76&gt;0,VLOOKUP(B76,'Robot Performance Analysis'!B$7:G$119,6,FALSE),"TBD"),"")</f>
        <v>0</v>
      </c>
      <c r="I76" s="4">
        <f t="shared" si="20"/>
        <v>0</v>
      </c>
      <c r="J76" s="4">
        <f t="shared" si="21"/>
        <v>0</v>
      </c>
      <c r="K76" s="4">
        <f t="shared" si="22"/>
      </c>
      <c r="L76" s="6">
        <f t="shared" si="23"/>
      </c>
      <c r="M76" s="9">
        <f t="shared" si="24"/>
      </c>
      <c r="N76" s="6"/>
      <c r="O76" s="6"/>
      <c r="P76" s="6"/>
      <c r="Q76" s="5">
        <f t="shared" si="25"/>
      </c>
      <c r="R76" s="50">
        <f t="shared" si="26"/>
        <v>9999</v>
      </c>
      <c r="S76" s="6">
        <f t="shared" si="27"/>
      </c>
      <c r="T76" s="57"/>
      <c r="U76" s="6">
        <f t="shared" si="28"/>
      </c>
      <c r="V76" s="57"/>
      <c r="W76" s="8"/>
      <c r="X76" s="7">
        <f t="shared" si="29"/>
      </c>
    </row>
    <row r="77" spans="2:24" ht="24.75" customHeight="1">
      <c r="B77" s="7">
        <f>_xlfn.IFERROR(IF(ISBLANK('Team Information Input'!A70),"",'Team Information Input'!A70),"")</f>
      </c>
      <c r="C77" s="3">
        <f>_xlfn.IFERROR(IF(ISBLANK('Team Information Input'!B70),"",'Team Information Input'!B70),"")</f>
      </c>
      <c r="D77" s="3">
        <f>'Team Information Input'!D70</f>
        <v>0</v>
      </c>
      <c r="E77" s="4">
        <f>_xlfn.IFERROR(I77+J77*10000+K77*100000000,_xlfn.IFERROR(I77*10000+#REF!*100000000,_xlfn.IFERROR(#REF!*100000000,"")))</f>
      </c>
      <c r="F77" s="4">
        <f>_xlfn.IFERROR(IF(B77&gt;0,VLOOKUP(B77,'Robot Performance Analysis'!B$7:G$119,4,FALSE),"TBD"),"")</f>
        <v>0</v>
      </c>
      <c r="G77" s="4">
        <f>_xlfn.IFERROR(IF(B77&gt;0,VLOOKUP(B77,'Robot Performance Analysis'!B$7:G$119,5,FALSE),"TBD"),"")</f>
        <v>0</v>
      </c>
      <c r="H77" s="4">
        <f>_xlfn.IFERROR(IF(B77&gt;0,VLOOKUP(B77,'Robot Performance Analysis'!B$7:G$119,6,FALSE),"TBD"),"")</f>
        <v>0</v>
      </c>
      <c r="I77" s="4">
        <f t="shared" si="20"/>
        <v>0</v>
      </c>
      <c r="J77" s="4">
        <f t="shared" si="21"/>
        <v>0</v>
      </c>
      <c r="K77" s="4">
        <f t="shared" si="22"/>
      </c>
      <c r="L77" s="6">
        <f t="shared" si="23"/>
      </c>
      <c r="M77" s="9">
        <f t="shared" si="24"/>
      </c>
      <c r="N77" s="6"/>
      <c r="O77" s="6"/>
      <c r="P77" s="6"/>
      <c r="Q77" s="5">
        <f t="shared" si="25"/>
      </c>
      <c r="R77" s="50">
        <f t="shared" si="26"/>
        <v>9999</v>
      </c>
      <c r="S77" s="6">
        <f t="shared" si="27"/>
      </c>
      <c r="T77" s="57"/>
      <c r="U77" s="6">
        <f t="shared" si="28"/>
      </c>
      <c r="V77" s="57"/>
      <c r="W77" s="8"/>
      <c r="X77" s="7">
        <f t="shared" si="29"/>
      </c>
    </row>
    <row r="78" spans="2:24" ht="24.75" customHeight="1">
      <c r="B78" s="7">
        <f>_xlfn.IFERROR(IF(ISBLANK('Team Information Input'!A71),"",'Team Information Input'!A71),"")</f>
      </c>
      <c r="C78" s="3">
        <f>_xlfn.IFERROR(IF(ISBLANK('Team Information Input'!B71),"",'Team Information Input'!B71),"")</f>
      </c>
      <c r="D78" s="3">
        <f>'Team Information Input'!D71</f>
        <v>0</v>
      </c>
      <c r="E78" s="4">
        <f>_xlfn.IFERROR(I78+J78*10000+K78*100000000,_xlfn.IFERROR(I78*10000+#REF!*100000000,_xlfn.IFERROR(#REF!*100000000,"")))</f>
      </c>
      <c r="F78" s="4">
        <f>_xlfn.IFERROR(IF(B78&gt;0,VLOOKUP(B78,'Robot Performance Analysis'!B$7:G$119,4,FALSE),"TBD"),"")</f>
        <v>0</v>
      </c>
      <c r="G78" s="4">
        <f>_xlfn.IFERROR(IF(B78&gt;0,VLOOKUP(B78,'Robot Performance Analysis'!B$7:G$119,5,FALSE),"TBD"),"")</f>
        <v>0</v>
      </c>
      <c r="H78" s="4">
        <f>_xlfn.IFERROR(IF(B78&gt;0,VLOOKUP(B78,'Robot Performance Analysis'!B$7:G$119,6,FALSE),"TBD"),"")</f>
        <v>0</v>
      </c>
      <c r="I78" s="4">
        <f t="shared" si="20"/>
        <v>0</v>
      </c>
      <c r="J78" s="4">
        <f t="shared" si="21"/>
        <v>0</v>
      </c>
      <c r="K78" s="4">
        <f t="shared" si="22"/>
      </c>
      <c r="L78" s="6">
        <f t="shared" si="23"/>
      </c>
      <c r="M78" s="9">
        <f t="shared" si="24"/>
      </c>
      <c r="N78" s="6"/>
      <c r="O78" s="6"/>
      <c r="P78" s="6"/>
      <c r="Q78" s="5">
        <f t="shared" si="25"/>
      </c>
      <c r="R78" s="50">
        <f t="shared" si="26"/>
        <v>9999</v>
      </c>
      <c r="S78" s="6">
        <f t="shared" si="27"/>
      </c>
      <c r="T78" s="57"/>
      <c r="U78" s="6">
        <f t="shared" si="28"/>
      </c>
      <c r="V78" s="57"/>
      <c r="W78" s="8"/>
      <c r="X78" s="7">
        <f t="shared" si="29"/>
      </c>
    </row>
    <row r="79" spans="2:24" ht="24.75" customHeight="1">
      <c r="B79" s="7">
        <f>_xlfn.IFERROR(IF(ISBLANK('Team Information Input'!A72),"",'Team Information Input'!A72),"")</f>
      </c>
      <c r="C79" s="3">
        <f>_xlfn.IFERROR(IF(ISBLANK('Team Information Input'!B72),"",'Team Information Input'!B72),"")</f>
      </c>
      <c r="D79" s="3">
        <f>'Team Information Input'!D72</f>
        <v>0</v>
      </c>
      <c r="E79" s="4">
        <f>_xlfn.IFERROR(I79+J79*10000+K79*100000000,_xlfn.IFERROR(I79*10000+#REF!*100000000,_xlfn.IFERROR(#REF!*100000000,"")))</f>
      </c>
      <c r="F79" s="4">
        <f>_xlfn.IFERROR(IF(B79&gt;0,VLOOKUP(B79,'Robot Performance Analysis'!B$7:G$119,4,FALSE),"TBD"),"")</f>
        <v>0</v>
      </c>
      <c r="G79" s="4">
        <f>_xlfn.IFERROR(IF(B79&gt;0,VLOOKUP(B79,'Robot Performance Analysis'!B$7:G$119,5,FALSE),"TBD"),"")</f>
        <v>0</v>
      </c>
      <c r="H79" s="4">
        <f>_xlfn.IFERROR(IF(B79&gt;0,VLOOKUP(B79,'Robot Performance Analysis'!B$7:G$119,6,FALSE),"TBD"),"")</f>
        <v>0</v>
      </c>
      <c r="I79" s="4">
        <f t="shared" si="20"/>
        <v>0</v>
      </c>
      <c r="J79" s="4">
        <f t="shared" si="21"/>
        <v>0</v>
      </c>
      <c r="K79" s="4">
        <f t="shared" si="22"/>
      </c>
      <c r="L79" s="6">
        <f t="shared" si="23"/>
      </c>
      <c r="M79" s="9">
        <f t="shared" si="24"/>
      </c>
      <c r="N79" s="6"/>
      <c r="O79" s="6"/>
      <c r="P79" s="6"/>
      <c r="Q79" s="5">
        <f t="shared" si="25"/>
      </c>
      <c r="R79" s="50">
        <f t="shared" si="26"/>
        <v>9999</v>
      </c>
      <c r="S79" s="6">
        <f t="shared" si="27"/>
      </c>
      <c r="T79" s="57"/>
      <c r="U79" s="6">
        <f t="shared" si="28"/>
      </c>
      <c r="V79" s="57"/>
      <c r="W79" s="8"/>
      <c r="X79" s="7">
        <f t="shared" si="29"/>
      </c>
    </row>
    <row r="80" spans="2:24" ht="24.75" customHeight="1">
      <c r="B80" s="7">
        <f>_xlfn.IFERROR(IF(ISBLANK('Team Information Input'!A73),"",'Team Information Input'!A73),"")</f>
      </c>
      <c r="C80" s="3">
        <f>_xlfn.IFERROR(IF(ISBLANK('Team Information Input'!B73),"",'Team Information Input'!B73),"")</f>
      </c>
      <c r="D80" s="3">
        <f>'Team Information Input'!D73</f>
        <v>0</v>
      </c>
      <c r="E80" s="4">
        <f>_xlfn.IFERROR(I80+J80*10000+K80*100000000,_xlfn.IFERROR(I80*10000+#REF!*100000000,_xlfn.IFERROR(#REF!*100000000,"")))</f>
      </c>
      <c r="F80" s="4">
        <f>_xlfn.IFERROR(IF(B80&gt;0,VLOOKUP(B80,'Robot Performance Analysis'!B$7:G$119,4,FALSE),"TBD"),"")</f>
        <v>0</v>
      </c>
      <c r="G80" s="4">
        <f>_xlfn.IFERROR(IF(B80&gt;0,VLOOKUP(B80,'Robot Performance Analysis'!B$7:G$119,5,FALSE),"TBD"),"")</f>
        <v>0</v>
      </c>
      <c r="H80" s="4">
        <f>_xlfn.IFERROR(IF(B80&gt;0,VLOOKUP(B80,'Robot Performance Analysis'!B$7:G$119,6,FALSE),"TBD"),"")</f>
        <v>0</v>
      </c>
      <c r="I80" s="4">
        <f t="shared" si="20"/>
        <v>0</v>
      </c>
      <c r="J80" s="4">
        <f t="shared" si="21"/>
        <v>0</v>
      </c>
      <c r="K80" s="4">
        <f t="shared" si="22"/>
      </c>
      <c r="L80" s="6">
        <f t="shared" si="23"/>
      </c>
      <c r="M80" s="9">
        <f t="shared" si="24"/>
      </c>
      <c r="N80" s="6"/>
      <c r="O80" s="6"/>
      <c r="P80" s="6"/>
      <c r="Q80" s="5">
        <f t="shared" si="25"/>
      </c>
      <c r="R80" s="50">
        <f t="shared" si="26"/>
        <v>9999</v>
      </c>
      <c r="S80" s="6">
        <f t="shared" si="27"/>
      </c>
      <c r="T80" s="57"/>
      <c r="U80" s="6">
        <f t="shared" si="28"/>
      </c>
      <c r="V80" s="57"/>
      <c r="W80" s="8"/>
      <c r="X80" s="7">
        <f t="shared" si="29"/>
      </c>
    </row>
    <row r="81" spans="2:24" ht="24.75" customHeight="1">
      <c r="B81" s="7">
        <f>_xlfn.IFERROR(IF(ISBLANK('Team Information Input'!A74),"",'Team Information Input'!A74),"")</f>
      </c>
      <c r="C81" s="3">
        <f>_xlfn.IFERROR(IF(ISBLANK('Team Information Input'!B74),"",'Team Information Input'!B74),"")</f>
      </c>
      <c r="D81" s="3">
        <f>'Team Information Input'!D74</f>
        <v>0</v>
      </c>
      <c r="E81" s="4">
        <f>_xlfn.IFERROR(I81+J81*10000+K81*100000000,_xlfn.IFERROR(I81*10000+#REF!*100000000,_xlfn.IFERROR(#REF!*100000000,"")))</f>
      </c>
      <c r="F81" s="4">
        <f>_xlfn.IFERROR(IF(B81&gt;0,VLOOKUP(B81,'Robot Performance Analysis'!B$7:G$119,4,FALSE),"TBD"),"")</f>
        <v>0</v>
      </c>
      <c r="G81" s="4">
        <f>_xlfn.IFERROR(IF(B81&gt;0,VLOOKUP(B81,'Robot Performance Analysis'!B$7:G$119,5,FALSE),"TBD"),"")</f>
        <v>0</v>
      </c>
      <c r="H81" s="4">
        <f>_xlfn.IFERROR(IF(B81&gt;0,VLOOKUP(B81,'Robot Performance Analysis'!B$7:G$119,6,FALSE),"TBD"),"")</f>
        <v>0</v>
      </c>
      <c r="I81" s="4">
        <f t="shared" si="20"/>
        <v>0</v>
      </c>
      <c r="J81" s="4">
        <f t="shared" si="21"/>
        <v>0</v>
      </c>
      <c r="K81" s="4">
        <f t="shared" si="22"/>
      </c>
      <c r="L81" s="6">
        <f t="shared" si="23"/>
      </c>
      <c r="M81" s="9">
        <f t="shared" si="24"/>
      </c>
      <c r="N81" s="6"/>
      <c r="O81" s="6"/>
      <c r="P81" s="6"/>
      <c r="Q81" s="5">
        <f t="shared" si="25"/>
      </c>
      <c r="R81" s="50">
        <f t="shared" si="26"/>
        <v>9999</v>
      </c>
      <c r="S81" s="6">
        <f t="shared" si="27"/>
      </c>
      <c r="T81" s="57"/>
      <c r="U81" s="6">
        <f t="shared" si="28"/>
      </c>
      <c r="V81" s="57"/>
      <c r="W81" s="8"/>
      <c r="X81" s="7">
        <f t="shared" si="29"/>
      </c>
    </row>
    <row r="82" spans="2:24" ht="24.75" customHeight="1">
      <c r="B82" s="7">
        <f>_xlfn.IFERROR(IF(ISBLANK('Team Information Input'!A75),"",'Team Information Input'!A75),"")</f>
      </c>
      <c r="C82" s="3">
        <f>_xlfn.IFERROR(IF(ISBLANK('Team Information Input'!B75),"",'Team Information Input'!B75),"")</f>
      </c>
      <c r="D82" s="3">
        <f>'Team Information Input'!D75</f>
        <v>0</v>
      </c>
      <c r="E82" s="4">
        <f>_xlfn.IFERROR(I82+J82*10000+K82*100000000,_xlfn.IFERROR(I82*10000+#REF!*100000000,_xlfn.IFERROR(#REF!*100000000,"")))</f>
      </c>
      <c r="F82" s="4">
        <f>_xlfn.IFERROR(IF(B82&gt;0,VLOOKUP(B82,'Robot Performance Analysis'!B$7:G$119,4,FALSE),"TBD"),"")</f>
        <v>0</v>
      </c>
      <c r="G82" s="4">
        <f>_xlfn.IFERROR(IF(B82&gt;0,VLOOKUP(B82,'Robot Performance Analysis'!B$7:G$119,5,FALSE),"TBD"),"")</f>
        <v>0</v>
      </c>
      <c r="H82" s="4">
        <f>_xlfn.IFERROR(IF(B82&gt;0,VLOOKUP(B82,'Robot Performance Analysis'!B$7:G$119,6,FALSE),"TBD"),"")</f>
        <v>0</v>
      </c>
      <c r="I82" s="4">
        <f t="shared" si="20"/>
        <v>0</v>
      </c>
      <c r="J82" s="4">
        <f t="shared" si="21"/>
        <v>0</v>
      </c>
      <c r="K82" s="4">
        <f t="shared" si="22"/>
      </c>
      <c r="L82" s="6">
        <f t="shared" si="23"/>
      </c>
      <c r="M82" s="9">
        <f t="shared" si="24"/>
      </c>
      <c r="N82" s="6"/>
      <c r="O82" s="6"/>
      <c r="P82" s="6"/>
      <c r="Q82" s="5">
        <f t="shared" si="25"/>
      </c>
      <c r="R82" s="50">
        <f t="shared" si="26"/>
        <v>9999</v>
      </c>
      <c r="S82" s="6">
        <f t="shared" si="27"/>
      </c>
      <c r="T82" s="57"/>
      <c r="U82" s="6">
        <f t="shared" si="28"/>
      </c>
      <c r="V82" s="57"/>
      <c r="W82" s="8"/>
      <c r="X82" s="7">
        <f t="shared" si="29"/>
      </c>
    </row>
    <row r="83" spans="2:24" ht="24.75" customHeight="1">
      <c r="B83" s="7">
        <f>_xlfn.IFERROR(IF(ISBLANK('Team Information Input'!A76),"",'Team Information Input'!A76),"")</f>
      </c>
      <c r="C83" s="3">
        <f>_xlfn.IFERROR(IF(ISBLANK('Team Information Input'!B76),"",'Team Information Input'!B76),"")</f>
      </c>
      <c r="D83" s="3">
        <f>'Team Information Input'!D76</f>
        <v>0</v>
      </c>
      <c r="E83" s="4">
        <f>_xlfn.IFERROR(I83+J83*10000+K83*100000000,_xlfn.IFERROR(I83*10000+#REF!*100000000,_xlfn.IFERROR(#REF!*100000000,"")))</f>
      </c>
      <c r="F83" s="4">
        <f>_xlfn.IFERROR(IF(B83&gt;0,VLOOKUP(B83,'Robot Performance Analysis'!B$7:G$119,4,FALSE),"TBD"),"")</f>
        <v>0</v>
      </c>
      <c r="G83" s="4">
        <f>_xlfn.IFERROR(IF(B83&gt;0,VLOOKUP(B83,'Robot Performance Analysis'!B$7:G$119,5,FALSE),"TBD"),"")</f>
        <v>0</v>
      </c>
      <c r="H83" s="4">
        <f>_xlfn.IFERROR(IF(B83&gt;0,VLOOKUP(B83,'Robot Performance Analysis'!B$7:G$119,6,FALSE),"TBD"),"")</f>
        <v>0</v>
      </c>
      <c r="I83" s="4">
        <f t="shared" si="20"/>
        <v>0</v>
      </c>
      <c r="J83" s="4">
        <f t="shared" si="21"/>
        <v>0</v>
      </c>
      <c r="K83" s="4">
        <f t="shared" si="22"/>
      </c>
      <c r="L83" s="6">
        <f t="shared" si="23"/>
      </c>
      <c r="M83" s="9">
        <f t="shared" si="24"/>
      </c>
      <c r="N83" s="6"/>
      <c r="O83" s="6"/>
      <c r="P83" s="6"/>
      <c r="Q83" s="5">
        <f t="shared" si="25"/>
      </c>
      <c r="R83" s="50">
        <f t="shared" si="26"/>
        <v>9999</v>
      </c>
      <c r="S83" s="6">
        <f t="shared" si="27"/>
      </c>
      <c r="T83" s="57"/>
      <c r="U83" s="6">
        <f t="shared" si="28"/>
      </c>
      <c r="V83" s="57"/>
      <c r="W83" s="8"/>
      <c r="X83" s="7">
        <f t="shared" si="29"/>
      </c>
    </row>
    <row r="84" spans="2:24" ht="24.75" customHeight="1">
      <c r="B84" s="7">
        <f>_xlfn.IFERROR(IF(ISBLANK('Team Information Input'!A77),"",'Team Information Input'!A77),"")</f>
      </c>
      <c r="C84" s="3">
        <f>_xlfn.IFERROR(IF(ISBLANK('Team Information Input'!B77),"",'Team Information Input'!B77),"")</f>
      </c>
      <c r="D84" s="3">
        <f>'Team Information Input'!D77</f>
        <v>0</v>
      </c>
      <c r="E84" s="4">
        <f>_xlfn.IFERROR(I84+J84*10000+K84*100000000,_xlfn.IFERROR(I84*10000+#REF!*100000000,_xlfn.IFERROR(#REF!*100000000,"")))</f>
      </c>
      <c r="F84" s="4">
        <f>_xlfn.IFERROR(IF(B84&gt;0,VLOOKUP(B84,'Robot Performance Analysis'!B$7:G$119,4,FALSE),"TBD"),"")</f>
        <v>0</v>
      </c>
      <c r="G84" s="4">
        <f>_xlfn.IFERROR(IF(B84&gt;0,VLOOKUP(B84,'Robot Performance Analysis'!B$7:G$119,5,FALSE),"TBD"),"")</f>
        <v>0</v>
      </c>
      <c r="H84" s="4">
        <f>_xlfn.IFERROR(IF(B84&gt;0,VLOOKUP(B84,'Robot Performance Analysis'!B$7:G$119,6,FALSE),"TBD"),"")</f>
        <v>0</v>
      </c>
      <c r="I84" s="4">
        <f t="shared" si="20"/>
        <v>0</v>
      </c>
      <c r="J84" s="4">
        <f t="shared" si="21"/>
        <v>0</v>
      </c>
      <c r="K84" s="4">
        <f t="shared" si="22"/>
      </c>
      <c r="L84" s="6">
        <f t="shared" si="23"/>
      </c>
      <c r="M84" s="9">
        <f t="shared" si="24"/>
      </c>
      <c r="N84" s="6"/>
      <c r="O84" s="6"/>
      <c r="P84" s="6"/>
      <c r="Q84" s="5">
        <f t="shared" si="25"/>
      </c>
      <c r="R84" s="50">
        <f t="shared" si="26"/>
        <v>9999</v>
      </c>
      <c r="S84" s="6">
        <f t="shared" si="27"/>
      </c>
      <c r="T84" s="57"/>
      <c r="U84" s="6">
        <f t="shared" si="28"/>
      </c>
      <c r="V84" s="57"/>
      <c r="W84" s="8"/>
      <c r="X84" s="7">
        <f t="shared" si="29"/>
      </c>
    </row>
    <row r="85" spans="2:24" ht="24.75" customHeight="1">
      <c r="B85" s="7">
        <f>_xlfn.IFERROR(IF(ISBLANK('Team Information Input'!A78),"",'Team Information Input'!A78),"")</f>
      </c>
      <c r="C85" s="3">
        <f>_xlfn.IFERROR(IF(ISBLANK('Team Information Input'!B78),"",'Team Information Input'!B78),"")</f>
      </c>
      <c r="D85" s="3">
        <f>'Team Information Input'!D78</f>
        <v>0</v>
      </c>
      <c r="E85" s="4">
        <f>_xlfn.IFERROR(I85+J85*10000+K85*100000000,_xlfn.IFERROR(I85*10000+#REF!*100000000,_xlfn.IFERROR(#REF!*100000000,"")))</f>
      </c>
      <c r="F85" s="4">
        <f>_xlfn.IFERROR(IF(B85&gt;0,VLOOKUP(B85,'Robot Performance Analysis'!B$7:G$119,4,FALSE),"TBD"),"")</f>
        <v>0</v>
      </c>
      <c r="G85" s="4">
        <f>_xlfn.IFERROR(IF(B85&gt;0,VLOOKUP(B85,'Robot Performance Analysis'!B$7:G$119,5,FALSE),"TBD"),"")</f>
        <v>0</v>
      </c>
      <c r="H85" s="4">
        <f>_xlfn.IFERROR(IF(B85&gt;0,VLOOKUP(B85,'Robot Performance Analysis'!B$7:G$119,6,FALSE),"TBD"),"")</f>
        <v>0</v>
      </c>
      <c r="I85" s="4">
        <f t="shared" si="20"/>
        <v>0</v>
      </c>
      <c r="J85" s="4">
        <f t="shared" si="21"/>
        <v>0</v>
      </c>
      <c r="K85" s="4">
        <f t="shared" si="22"/>
      </c>
      <c r="L85" s="6">
        <f t="shared" si="23"/>
      </c>
      <c r="M85" s="9">
        <f t="shared" si="24"/>
      </c>
      <c r="N85" s="6"/>
      <c r="O85" s="6"/>
      <c r="P85" s="6"/>
      <c r="Q85" s="5">
        <f t="shared" si="25"/>
      </c>
      <c r="R85" s="50">
        <f t="shared" si="26"/>
        <v>9999</v>
      </c>
      <c r="S85" s="6">
        <f t="shared" si="27"/>
      </c>
      <c r="T85" s="57"/>
      <c r="U85" s="6">
        <f t="shared" si="28"/>
      </c>
      <c r="V85" s="57"/>
      <c r="W85" s="8"/>
      <c r="X85" s="7">
        <f t="shared" si="29"/>
      </c>
    </row>
    <row r="86" spans="2:24" ht="24.75" customHeight="1">
      <c r="B86" s="7">
        <f>_xlfn.IFERROR(IF(ISBLANK('Team Information Input'!A79),"",'Team Information Input'!A79),"")</f>
      </c>
      <c r="C86" s="3">
        <f>_xlfn.IFERROR(IF(ISBLANK('Team Information Input'!B79),"",'Team Information Input'!B79),"")</f>
      </c>
      <c r="D86" s="3">
        <f>'Team Information Input'!D79</f>
        <v>0</v>
      </c>
      <c r="E86" s="4">
        <f>_xlfn.IFERROR(I86+J86*10000+K86*100000000,_xlfn.IFERROR(I86*10000+#REF!*100000000,_xlfn.IFERROR(#REF!*100000000,"")))</f>
      </c>
      <c r="F86" s="4">
        <f>_xlfn.IFERROR(IF(B86&gt;0,VLOOKUP(B86,'Robot Performance Analysis'!B$7:G$119,4,FALSE),"TBD"),"")</f>
        <v>0</v>
      </c>
      <c r="G86" s="4">
        <f>_xlfn.IFERROR(IF(B86&gt;0,VLOOKUP(B86,'Robot Performance Analysis'!B$7:G$119,5,FALSE),"TBD"),"")</f>
        <v>0</v>
      </c>
      <c r="H86" s="4">
        <f>_xlfn.IFERROR(IF(B86&gt;0,VLOOKUP(B86,'Robot Performance Analysis'!B$7:G$119,6,FALSE),"TBD"),"")</f>
        <v>0</v>
      </c>
      <c r="I86" s="4">
        <f t="shared" si="20"/>
        <v>0</v>
      </c>
      <c r="J86" s="4">
        <f t="shared" si="21"/>
        <v>0</v>
      </c>
      <c r="K86" s="4">
        <f t="shared" si="22"/>
      </c>
      <c r="L86" s="6">
        <f t="shared" si="23"/>
      </c>
      <c r="M86" s="9">
        <f t="shared" si="24"/>
      </c>
      <c r="N86" s="6"/>
      <c r="O86" s="6"/>
      <c r="P86" s="6"/>
      <c r="Q86" s="5">
        <f t="shared" si="25"/>
      </c>
      <c r="R86" s="50">
        <f t="shared" si="26"/>
        <v>9999</v>
      </c>
      <c r="S86" s="6">
        <f t="shared" si="27"/>
      </c>
      <c r="T86" s="57"/>
      <c r="U86" s="6">
        <f t="shared" si="28"/>
      </c>
      <c r="V86" s="57"/>
      <c r="W86" s="8"/>
      <c r="X86" s="7">
        <f t="shared" si="29"/>
      </c>
    </row>
    <row r="87" spans="2:24" ht="24.75" customHeight="1">
      <c r="B87" s="7">
        <f>_xlfn.IFERROR(IF(ISBLANK('Team Information Input'!A80),"",'Team Information Input'!A80),"")</f>
      </c>
      <c r="C87" s="3">
        <f>_xlfn.IFERROR(IF(ISBLANK('Team Information Input'!B80),"",'Team Information Input'!B80),"")</f>
      </c>
      <c r="D87" s="3">
        <f>'Team Information Input'!D80</f>
        <v>0</v>
      </c>
      <c r="E87" s="4">
        <f>_xlfn.IFERROR(I87+J87*10000+K87*100000000,_xlfn.IFERROR(I87*10000+#REF!*100000000,_xlfn.IFERROR(#REF!*100000000,"")))</f>
      </c>
      <c r="F87" s="4">
        <f>_xlfn.IFERROR(IF(B87&gt;0,VLOOKUP(B87,'Robot Performance Analysis'!B$7:G$119,4,FALSE),"TBD"),"")</f>
        <v>0</v>
      </c>
      <c r="G87" s="4">
        <f>_xlfn.IFERROR(IF(B87&gt;0,VLOOKUP(B87,'Robot Performance Analysis'!B$7:G$119,5,FALSE),"TBD"),"")</f>
        <v>0</v>
      </c>
      <c r="H87" s="4">
        <f>_xlfn.IFERROR(IF(B87&gt;0,VLOOKUP(B87,'Robot Performance Analysis'!B$7:G$119,6,FALSE),"TBD"),"")</f>
        <v>0</v>
      </c>
      <c r="I87" s="4">
        <f t="shared" si="20"/>
        <v>0</v>
      </c>
      <c r="J87" s="4">
        <f t="shared" si="21"/>
        <v>0</v>
      </c>
      <c r="K87" s="4">
        <f t="shared" si="22"/>
      </c>
      <c r="L87" s="6">
        <f t="shared" si="23"/>
      </c>
      <c r="M87" s="9">
        <f t="shared" si="24"/>
      </c>
      <c r="N87" s="6"/>
      <c r="O87" s="6"/>
      <c r="P87" s="6"/>
      <c r="Q87" s="5">
        <f t="shared" si="25"/>
      </c>
      <c r="R87" s="50">
        <f t="shared" si="26"/>
        <v>9999</v>
      </c>
      <c r="S87" s="6">
        <f t="shared" si="27"/>
      </c>
      <c r="T87" s="57"/>
      <c r="U87" s="6">
        <f t="shared" si="28"/>
      </c>
      <c r="V87" s="57"/>
      <c r="W87" s="8"/>
      <c r="X87" s="7">
        <f t="shared" si="29"/>
      </c>
    </row>
    <row r="88" spans="2:24" ht="24.75" customHeight="1">
      <c r="B88" s="7">
        <f>_xlfn.IFERROR(IF(ISBLANK('Team Information Input'!A81),"",'Team Information Input'!A81),"")</f>
      </c>
      <c r="C88" s="3">
        <f>_xlfn.IFERROR(IF(ISBLANK('Team Information Input'!B81),"",'Team Information Input'!B81),"")</f>
      </c>
      <c r="D88" s="3">
        <f>'Team Information Input'!D81</f>
        <v>0</v>
      </c>
      <c r="E88" s="4">
        <f>_xlfn.IFERROR(I88+J88*10000+K88*100000000,_xlfn.IFERROR(I88*10000+#REF!*100000000,_xlfn.IFERROR(#REF!*100000000,"")))</f>
      </c>
      <c r="F88" s="4">
        <f>_xlfn.IFERROR(IF(B88&gt;0,VLOOKUP(B88,'Robot Performance Analysis'!B$7:G$119,4,FALSE),"TBD"),"")</f>
        <v>0</v>
      </c>
      <c r="G88" s="4">
        <f>_xlfn.IFERROR(IF(B88&gt;0,VLOOKUP(B88,'Robot Performance Analysis'!B$7:G$119,5,FALSE),"TBD"),"")</f>
        <v>0</v>
      </c>
      <c r="H88" s="4">
        <f>_xlfn.IFERROR(IF(B88&gt;0,VLOOKUP(B88,'Robot Performance Analysis'!B$7:G$119,6,FALSE),"TBD"),"")</f>
        <v>0</v>
      </c>
      <c r="I88" s="4">
        <f t="shared" si="20"/>
        <v>0</v>
      </c>
      <c r="J88" s="4">
        <f t="shared" si="21"/>
        <v>0</v>
      </c>
      <c r="K88" s="4">
        <f t="shared" si="22"/>
      </c>
      <c r="L88" s="6">
        <f t="shared" si="23"/>
      </c>
      <c r="M88" s="9">
        <f t="shared" si="24"/>
      </c>
      <c r="N88" s="6"/>
      <c r="O88" s="6"/>
      <c r="P88" s="6"/>
      <c r="Q88" s="5">
        <f t="shared" si="25"/>
      </c>
      <c r="R88" s="50">
        <f t="shared" si="26"/>
        <v>9999</v>
      </c>
      <c r="S88" s="6">
        <f t="shared" si="27"/>
      </c>
      <c r="T88" s="57"/>
      <c r="U88" s="6">
        <f t="shared" si="28"/>
      </c>
      <c r="V88" s="57"/>
      <c r="W88" s="8"/>
      <c r="X88" s="7">
        <f t="shared" si="29"/>
      </c>
    </row>
    <row r="89" spans="2:24" ht="24.75" customHeight="1">
      <c r="B89" s="7">
        <f>_xlfn.IFERROR(IF(ISBLANK('Team Information Input'!A82),"",'Team Information Input'!A82),"")</f>
      </c>
      <c r="C89" s="3">
        <f>_xlfn.IFERROR(IF(ISBLANK('Team Information Input'!B82),"",'Team Information Input'!B82),"")</f>
      </c>
      <c r="D89" s="3">
        <f>'Team Information Input'!D82</f>
        <v>0</v>
      </c>
      <c r="E89" s="4">
        <f>_xlfn.IFERROR(I89+J89*10000+K89*100000000,_xlfn.IFERROR(I89*10000+#REF!*100000000,_xlfn.IFERROR(#REF!*100000000,"")))</f>
      </c>
      <c r="F89" s="4">
        <f>_xlfn.IFERROR(IF(B89&gt;0,VLOOKUP(B89,'Robot Performance Analysis'!B$7:G$119,4,FALSE),"TBD"),"")</f>
        <v>0</v>
      </c>
      <c r="G89" s="4">
        <f>_xlfn.IFERROR(IF(B89&gt;0,VLOOKUP(B89,'Robot Performance Analysis'!B$7:G$119,5,FALSE),"TBD"),"")</f>
        <v>0</v>
      </c>
      <c r="H89" s="4">
        <f>_xlfn.IFERROR(IF(B89&gt;0,VLOOKUP(B89,'Robot Performance Analysis'!B$7:G$119,6,FALSE),"TBD"),"")</f>
        <v>0</v>
      </c>
      <c r="I89" s="4">
        <f t="shared" si="20"/>
        <v>0</v>
      </c>
      <c r="J89" s="4">
        <f t="shared" si="21"/>
        <v>0</v>
      </c>
      <c r="K89" s="4">
        <f t="shared" si="22"/>
      </c>
      <c r="L89" s="6">
        <f t="shared" si="23"/>
      </c>
      <c r="M89" s="9">
        <f t="shared" si="24"/>
      </c>
      <c r="N89" s="6"/>
      <c r="O89" s="6"/>
      <c r="P89" s="6"/>
      <c r="Q89" s="5">
        <f t="shared" si="25"/>
      </c>
      <c r="R89" s="50">
        <f t="shared" si="26"/>
        <v>9999</v>
      </c>
      <c r="S89" s="6">
        <f t="shared" si="27"/>
      </c>
      <c r="T89" s="57"/>
      <c r="U89" s="6">
        <f t="shared" si="28"/>
      </c>
      <c r="V89" s="57"/>
      <c r="W89" s="8"/>
      <c r="X89" s="7">
        <f t="shared" si="29"/>
      </c>
    </row>
    <row r="90" spans="2:24" ht="24.75" customHeight="1">
      <c r="B90" s="7">
        <f>_xlfn.IFERROR(IF(ISBLANK('Team Information Input'!A83),"",'Team Information Input'!A83),"")</f>
      </c>
      <c r="C90" s="3">
        <f>_xlfn.IFERROR(IF(ISBLANK('Team Information Input'!B83),"",'Team Information Input'!B83),"")</f>
      </c>
      <c r="D90" s="3">
        <f>'Team Information Input'!D83</f>
        <v>0</v>
      </c>
      <c r="E90" s="4">
        <f>_xlfn.IFERROR(I90+J90*10000+K90*100000000,_xlfn.IFERROR(I90*10000+#REF!*100000000,_xlfn.IFERROR(#REF!*100000000,"")))</f>
      </c>
      <c r="F90" s="4">
        <f>_xlfn.IFERROR(IF(B90&gt;0,VLOOKUP(B90,'Robot Performance Analysis'!B$7:G$119,4,FALSE),"TBD"),"")</f>
        <v>0</v>
      </c>
      <c r="G90" s="4">
        <f>_xlfn.IFERROR(IF(B90&gt;0,VLOOKUP(B90,'Robot Performance Analysis'!B$7:G$119,5,FALSE),"TBD"),"")</f>
        <v>0</v>
      </c>
      <c r="H90" s="4">
        <f>_xlfn.IFERROR(IF(B90&gt;0,VLOOKUP(B90,'Robot Performance Analysis'!B$7:G$119,6,FALSE),"TBD"),"")</f>
        <v>0</v>
      </c>
      <c r="I90" s="4">
        <f t="shared" si="20"/>
        <v>0</v>
      </c>
      <c r="J90" s="4">
        <f t="shared" si="21"/>
        <v>0</v>
      </c>
      <c r="K90" s="4">
        <f t="shared" si="22"/>
      </c>
      <c r="L90" s="6">
        <f t="shared" si="23"/>
      </c>
      <c r="M90" s="9">
        <f t="shared" si="24"/>
      </c>
      <c r="N90" s="6"/>
      <c r="O90" s="6"/>
      <c r="P90" s="6"/>
      <c r="Q90" s="5">
        <f t="shared" si="25"/>
      </c>
      <c r="R90" s="50">
        <f t="shared" si="26"/>
        <v>9999</v>
      </c>
      <c r="S90" s="6">
        <f t="shared" si="27"/>
      </c>
      <c r="T90" s="57"/>
      <c r="U90" s="6">
        <f t="shared" si="28"/>
      </c>
      <c r="V90" s="57"/>
      <c r="W90" s="8"/>
      <c r="X90" s="7">
        <f t="shared" si="29"/>
      </c>
    </row>
    <row r="91" spans="2:24" ht="24.75" customHeight="1">
      <c r="B91" s="7">
        <f>_xlfn.IFERROR(IF(ISBLANK('Team Information Input'!A84),"",'Team Information Input'!A84),"")</f>
      </c>
      <c r="C91" s="3">
        <f>_xlfn.IFERROR(IF(ISBLANK('Team Information Input'!B84),"",'Team Information Input'!B84),"")</f>
      </c>
      <c r="D91" s="3">
        <f>'Team Information Input'!D84</f>
        <v>0</v>
      </c>
      <c r="E91" s="4">
        <f>_xlfn.IFERROR(I91+J91*10000+K91*100000000,_xlfn.IFERROR(I91*10000+#REF!*100000000,_xlfn.IFERROR(#REF!*100000000,"")))</f>
      </c>
      <c r="F91" s="4">
        <f>_xlfn.IFERROR(IF(B91&gt;0,VLOOKUP(B91,'Robot Performance Analysis'!B$7:G$119,4,FALSE),"TBD"),"")</f>
        <v>0</v>
      </c>
      <c r="G91" s="4">
        <f>_xlfn.IFERROR(IF(B91&gt;0,VLOOKUP(B91,'Robot Performance Analysis'!B$7:G$119,5,FALSE),"TBD"),"")</f>
        <v>0</v>
      </c>
      <c r="H91" s="4">
        <f>_xlfn.IFERROR(IF(B91&gt;0,VLOOKUP(B91,'Robot Performance Analysis'!B$7:G$119,6,FALSE),"TBD"),"")</f>
        <v>0</v>
      </c>
      <c r="I91" s="4">
        <f t="shared" si="20"/>
        <v>0</v>
      </c>
      <c r="J91" s="4">
        <f t="shared" si="21"/>
        <v>0</v>
      </c>
      <c r="K91" s="4">
        <f t="shared" si="22"/>
      </c>
      <c r="L91" s="6">
        <f t="shared" si="23"/>
      </c>
      <c r="M91" s="9">
        <f t="shared" si="24"/>
      </c>
      <c r="N91" s="6"/>
      <c r="O91" s="6"/>
      <c r="P91" s="6"/>
      <c r="Q91" s="5">
        <f t="shared" si="25"/>
      </c>
      <c r="R91" s="50">
        <f t="shared" si="26"/>
        <v>9999</v>
      </c>
      <c r="S91" s="6">
        <f t="shared" si="27"/>
      </c>
      <c r="T91" s="57"/>
      <c r="U91" s="6">
        <f t="shared" si="28"/>
      </c>
      <c r="V91" s="57"/>
      <c r="W91" s="8"/>
      <c r="X91" s="7">
        <f t="shared" si="29"/>
      </c>
    </row>
    <row r="92" spans="2:24" ht="24.75" customHeight="1">
      <c r="B92" s="7">
        <f>_xlfn.IFERROR(IF(ISBLANK('Team Information Input'!A85),"",'Team Information Input'!A85),"")</f>
      </c>
      <c r="C92" s="3">
        <f>_xlfn.IFERROR(IF(ISBLANK('Team Information Input'!B85),"",'Team Information Input'!B85),"")</f>
      </c>
      <c r="D92" s="3">
        <f>'Team Information Input'!D85</f>
        <v>0</v>
      </c>
      <c r="E92" s="4">
        <f>_xlfn.IFERROR(I92+J92*10000+K92*100000000,_xlfn.IFERROR(I92*10000+#REF!*100000000,_xlfn.IFERROR(#REF!*100000000,"")))</f>
      </c>
      <c r="F92" s="4">
        <f>_xlfn.IFERROR(IF(B92&gt;0,VLOOKUP(B92,'Robot Performance Analysis'!B$7:G$119,4,FALSE),"TBD"),"")</f>
        <v>0</v>
      </c>
      <c r="G92" s="4">
        <f>_xlfn.IFERROR(IF(B92&gt;0,VLOOKUP(B92,'Robot Performance Analysis'!B$7:G$119,5,FALSE),"TBD"),"")</f>
        <v>0</v>
      </c>
      <c r="H92" s="4">
        <f>_xlfn.IFERROR(IF(B92&gt;0,VLOOKUP(B92,'Robot Performance Analysis'!B$7:G$119,6,FALSE),"TBD"),"")</f>
        <v>0</v>
      </c>
      <c r="I92" s="4">
        <f t="shared" si="20"/>
        <v>0</v>
      </c>
      <c r="J92" s="4">
        <f t="shared" si="21"/>
        <v>0</v>
      </c>
      <c r="K92" s="4">
        <f t="shared" si="22"/>
      </c>
      <c r="L92" s="6">
        <f t="shared" si="23"/>
      </c>
      <c r="M92" s="9">
        <f t="shared" si="24"/>
      </c>
      <c r="N92" s="6"/>
      <c r="O92" s="6"/>
      <c r="P92" s="6"/>
      <c r="Q92" s="5">
        <f t="shared" si="25"/>
      </c>
      <c r="R92" s="50">
        <f t="shared" si="26"/>
        <v>9999</v>
      </c>
      <c r="S92" s="6">
        <f t="shared" si="27"/>
      </c>
      <c r="T92" s="57"/>
      <c r="U92" s="6">
        <f t="shared" si="28"/>
      </c>
      <c r="V92" s="57"/>
      <c r="W92" s="8"/>
      <c r="X92" s="7">
        <f t="shared" si="29"/>
      </c>
    </row>
    <row r="93" spans="2:24" ht="24.75" customHeight="1">
      <c r="B93" s="7">
        <f>_xlfn.IFERROR(IF(ISBLANK('Team Information Input'!A86),"",'Team Information Input'!A86),"")</f>
      </c>
      <c r="C93" s="3">
        <f>_xlfn.IFERROR(IF(ISBLANK('Team Information Input'!B86),"",'Team Information Input'!B86),"")</f>
      </c>
      <c r="D93" s="3">
        <f>'Team Information Input'!D86</f>
        <v>0</v>
      </c>
      <c r="E93" s="4">
        <f>_xlfn.IFERROR(I93+J93*10000+K93*100000000,_xlfn.IFERROR(I93*10000+#REF!*100000000,_xlfn.IFERROR(#REF!*100000000,"")))</f>
      </c>
      <c r="F93" s="4">
        <f>_xlfn.IFERROR(IF(B93&gt;0,VLOOKUP(B93,'Robot Performance Analysis'!B$7:G$119,4,FALSE),"TBD"),"")</f>
        <v>0</v>
      </c>
      <c r="G93" s="4">
        <f>_xlfn.IFERROR(IF(B93&gt;0,VLOOKUP(B93,'Robot Performance Analysis'!B$7:G$119,5,FALSE),"TBD"),"")</f>
        <v>0</v>
      </c>
      <c r="H93" s="4">
        <f>_xlfn.IFERROR(IF(B93&gt;0,VLOOKUP(B93,'Robot Performance Analysis'!B$7:G$119,6,FALSE),"TBD"),"")</f>
        <v>0</v>
      </c>
      <c r="I93" s="4">
        <f t="shared" si="20"/>
        <v>0</v>
      </c>
      <c r="J93" s="4">
        <f t="shared" si="21"/>
        <v>0</v>
      </c>
      <c r="K93" s="4">
        <f t="shared" si="22"/>
      </c>
      <c r="L93" s="6">
        <f t="shared" si="23"/>
      </c>
      <c r="M93" s="9">
        <f t="shared" si="24"/>
      </c>
      <c r="N93" s="6"/>
      <c r="O93" s="6"/>
      <c r="P93" s="6"/>
      <c r="Q93" s="5">
        <f t="shared" si="25"/>
      </c>
      <c r="R93" s="50">
        <f t="shared" si="26"/>
        <v>9999</v>
      </c>
      <c r="S93" s="6">
        <f t="shared" si="27"/>
      </c>
      <c r="T93" s="57"/>
      <c r="U93" s="6">
        <f t="shared" si="28"/>
      </c>
      <c r="V93" s="57"/>
      <c r="W93" s="8"/>
      <c r="X93" s="7">
        <f t="shared" si="29"/>
      </c>
    </row>
    <row r="94" spans="2:24" ht="24.75" customHeight="1">
      <c r="B94" s="7">
        <f>_xlfn.IFERROR(IF(ISBLANK('Team Information Input'!A87),"",'Team Information Input'!A87),"")</f>
      </c>
      <c r="C94" s="3">
        <f>_xlfn.IFERROR(IF(ISBLANK('Team Information Input'!B87),"",'Team Information Input'!B87),"")</f>
      </c>
      <c r="D94" s="3">
        <f>'Team Information Input'!D87</f>
        <v>0</v>
      </c>
      <c r="E94" s="4">
        <f>_xlfn.IFERROR(I94+J94*10000+K94*100000000,_xlfn.IFERROR(I94*10000+#REF!*100000000,_xlfn.IFERROR(#REF!*100000000,"")))</f>
      </c>
      <c r="F94" s="4">
        <f>_xlfn.IFERROR(IF(B94&gt;0,VLOOKUP(B94,'Robot Performance Analysis'!B$7:G$119,4,FALSE),"TBD"),"")</f>
        <v>0</v>
      </c>
      <c r="G94" s="4">
        <f>_xlfn.IFERROR(IF(B94&gt;0,VLOOKUP(B94,'Robot Performance Analysis'!B$7:G$119,5,FALSE),"TBD"),"")</f>
        <v>0</v>
      </c>
      <c r="H94" s="4">
        <f>_xlfn.IFERROR(IF(B94&gt;0,VLOOKUP(B94,'Robot Performance Analysis'!B$7:G$119,6,FALSE),"TBD"),"")</f>
        <v>0</v>
      </c>
      <c r="I94" s="4">
        <f t="shared" si="20"/>
        <v>0</v>
      </c>
      <c r="J94" s="4">
        <f t="shared" si="21"/>
        <v>0</v>
      </c>
      <c r="K94" s="4">
        <f t="shared" si="22"/>
      </c>
      <c r="L94" s="6">
        <f t="shared" si="23"/>
      </c>
      <c r="M94" s="9">
        <f t="shared" si="24"/>
      </c>
      <c r="N94" s="6"/>
      <c r="O94" s="6"/>
      <c r="P94" s="6"/>
      <c r="Q94" s="5">
        <f t="shared" si="25"/>
      </c>
      <c r="R94" s="50">
        <f t="shared" si="26"/>
        <v>9999</v>
      </c>
      <c r="S94" s="6">
        <f t="shared" si="27"/>
      </c>
      <c r="T94" s="57"/>
      <c r="U94" s="6">
        <f t="shared" si="28"/>
      </c>
      <c r="V94" s="57"/>
      <c r="W94" s="8"/>
      <c r="X94" s="7">
        <f t="shared" si="29"/>
      </c>
    </row>
    <row r="95" spans="2:24" ht="24.75" customHeight="1">
      <c r="B95" s="7">
        <f>_xlfn.IFERROR(IF(ISBLANK('Team Information Input'!A88),"",'Team Information Input'!A88),"")</f>
      </c>
      <c r="C95" s="3">
        <f>_xlfn.IFERROR(IF(ISBLANK('Team Information Input'!B88),"",'Team Information Input'!B88),"")</f>
      </c>
      <c r="D95" s="3">
        <f>'Team Information Input'!D88</f>
        <v>0</v>
      </c>
      <c r="E95" s="4">
        <f>_xlfn.IFERROR(I95+J95*10000+K95*100000000,_xlfn.IFERROR(I95*10000+#REF!*100000000,_xlfn.IFERROR(#REF!*100000000,"")))</f>
      </c>
      <c r="F95" s="4">
        <f>_xlfn.IFERROR(IF(B95&gt;0,VLOOKUP(B95,'Robot Performance Analysis'!B$7:G$119,4,FALSE),"TBD"),"")</f>
        <v>0</v>
      </c>
      <c r="G95" s="4">
        <f>_xlfn.IFERROR(IF(B95&gt;0,VLOOKUP(B95,'Robot Performance Analysis'!B$7:G$119,5,FALSE),"TBD"),"")</f>
        <v>0</v>
      </c>
      <c r="H95" s="4">
        <f>_xlfn.IFERROR(IF(B95&gt;0,VLOOKUP(B95,'Robot Performance Analysis'!B$7:G$119,6,FALSE),"TBD"),"")</f>
        <v>0</v>
      </c>
      <c r="I95" s="4">
        <f t="shared" si="20"/>
        <v>0</v>
      </c>
      <c r="J95" s="4">
        <f t="shared" si="21"/>
        <v>0</v>
      </c>
      <c r="K95" s="4">
        <f t="shared" si="22"/>
      </c>
      <c r="L95" s="6">
        <f t="shared" si="23"/>
      </c>
      <c r="M95" s="9">
        <f t="shared" si="24"/>
      </c>
      <c r="N95" s="6"/>
      <c r="O95" s="6"/>
      <c r="P95" s="6"/>
      <c r="Q95" s="5">
        <f t="shared" si="25"/>
      </c>
      <c r="R95" s="50">
        <f t="shared" si="26"/>
        <v>9999</v>
      </c>
      <c r="S95" s="6">
        <f t="shared" si="27"/>
      </c>
      <c r="T95" s="57"/>
      <c r="U95" s="6">
        <f t="shared" si="28"/>
      </c>
      <c r="V95" s="57"/>
      <c r="W95" s="8"/>
      <c r="X95" s="7">
        <f t="shared" si="29"/>
      </c>
    </row>
    <row r="96" spans="2:24" ht="24.75" customHeight="1">
      <c r="B96" s="7">
        <f>_xlfn.IFERROR(IF(ISBLANK('Team Information Input'!A89),"",'Team Information Input'!A89),"")</f>
      </c>
      <c r="C96" s="3">
        <f>_xlfn.IFERROR(IF(ISBLANK('Team Information Input'!B89),"",'Team Information Input'!B89),"")</f>
      </c>
      <c r="D96" s="3">
        <f>'Team Information Input'!D89</f>
        <v>0</v>
      </c>
      <c r="E96" s="4">
        <f>_xlfn.IFERROR(I96+J96*10000+K96*100000000,_xlfn.IFERROR(I96*10000+#REF!*100000000,_xlfn.IFERROR(#REF!*100000000,"")))</f>
      </c>
      <c r="F96" s="4">
        <f>_xlfn.IFERROR(IF(B96&gt;0,VLOOKUP(B96,'Robot Performance Analysis'!B$7:G$119,4,FALSE),"TBD"),"")</f>
        <v>0</v>
      </c>
      <c r="G96" s="4">
        <f>_xlfn.IFERROR(IF(B96&gt;0,VLOOKUP(B96,'Robot Performance Analysis'!B$7:G$119,5,FALSE),"TBD"),"")</f>
        <v>0</v>
      </c>
      <c r="H96" s="4">
        <f>_xlfn.IFERROR(IF(B96&gt;0,VLOOKUP(B96,'Robot Performance Analysis'!B$7:G$119,6,FALSE),"TBD"),"")</f>
        <v>0</v>
      </c>
      <c r="I96" s="4">
        <f t="shared" si="20"/>
        <v>0</v>
      </c>
      <c r="J96" s="4">
        <f t="shared" si="21"/>
        <v>0</v>
      </c>
      <c r="K96" s="4">
        <f t="shared" si="22"/>
      </c>
      <c r="L96" s="6">
        <f t="shared" si="23"/>
      </c>
      <c r="M96" s="9">
        <f t="shared" si="24"/>
      </c>
      <c r="N96" s="6"/>
      <c r="O96" s="6"/>
      <c r="P96" s="6"/>
      <c r="Q96" s="5">
        <f t="shared" si="25"/>
      </c>
      <c r="R96" s="50">
        <f t="shared" si="26"/>
        <v>9999</v>
      </c>
      <c r="S96" s="6">
        <f t="shared" si="27"/>
      </c>
      <c r="T96" s="57"/>
      <c r="U96" s="6">
        <f t="shared" si="28"/>
      </c>
      <c r="V96" s="57"/>
      <c r="W96" s="8"/>
      <c r="X96" s="7">
        <f t="shared" si="29"/>
      </c>
    </row>
    <row r="97" spans="2:24" ht="24.75" customHeight="1">
      <c r="B97" s="7">
        <f>_xlfn.IFERROR(IF(ISBLANK('Team Information Input'!A90),"",'Team Information Input'!A90),"")</f>
      </c>
      <c r="C97" s="3">
        <f>_xlfn.IFERROR(IF(ISBLANK('Team Information Input'!B90),"",'Team Information Input'!B90),"")</f>
      </c>
      <c r="D97" s="3">
        <f>'Team Information Input'!D90</f>
        <v>0</v>
      </c>
      <c r="E97" s="4">
        <f>_xlfn.IFERROR(I97+J97*10000+K97*100000000,_xlfn.IFERROR(I97*10000+#REF!*100000000,_xlfn.IFERROR(#REF!*100000000,"")))</f>
      </c>
      <c r="F97" s="4">
        <f>_xlfn.IFERROR(IF(B97&gt;0,VLOOKUP(B97,'Robot Performance Analysis'!B$7:G$119,4,FALSE),"TBD"),"")</f>
        <v>0</v>
      </c>
      <c r="G97" s="4">
        <f>_xlfn.IFERROR(IF(B97&gt;0,VLOOKUP(B97,'Robot Performance Analysis'!B$7:G$119,5,FALSE),"TBD"),"")</f>
        <v>0</v>
      </c>
      <c r="H97" s="4">
        <f>_xlfn.IFERROR(IF(B97&gt;0,VLOOKUP(B97,'Robot Performance Analysis'!B$7:G$119,6,FALSE),"TBD"),"")</f>
        <v>0</v>
      </c>
      <c r="I97" s="4">
        <f t="shared" si="20"/>
        <v>0</v>
      </c>
      <c r="J97" s="4">
        <f t="shared" si="21"/>
        <v>0</v>
      </c>
      <c r="K97" s="4">
        <f t="shared" si="22"/>
      </c>
      <c r="L97" s="6">
        <f t="shared" si="23"/>
      </c>
      <c r="M97" s="9">
        <f t="shared" si="24"/>
      </c>
      <c r="N97" s="6"/>
      <c r="O97" s="6"/>
      <c r="P97" s="6"/>
      <c r="Q97" s="5">
        <f t="shared" si="25"/>
      </c>
      <c r="R97" s="50">
        <f t="shared" si="26"/>
        <v>9999</v>
      </c>
      <c r="S97" s="6">
        <f t="shared" si="27"/>
      </c>
      <c r="T97" s="57"/>
      <c r="U97" s="6">
        <f t="shared" si="28"/>
      </c>
      <c r="V97" s="57"/>
      <c r="W97" s="8"/>
      <c r="X97" s="7">
        <f t="shared" si="29"/>
      </c>
    </row>
    <row r="98" spans="2:24" ht="24.75" customHeight="1">
      <c r="B98" s="7">
        <f>_xlfn.IFERROR(IF(ISBLANK('Team Information Input'!A91),"",'Team Information Input'!A91),"")</f>
      </c>
      <c r="C98" s="3">
        <f>_xlfn.IFERROR(IF(ISBLANK('Team Information Input'!B91),"",'Team Information Input'!B91),"")</f>
      </c>
      <c r="D98" s="3">
        <f>'Team Information Input'!D91</f>
        <v>0</v>
      </c>
      <c r="E98" s="4">
        <f>_xlfn.IFERROR(I98+J98*10000+K98*100000000,_xlfn.IFERROR(I98*10000+#REF!*100000000,_xlfn.IFERROR(#REF!*100000000,"")))</f>
      </c>
      <c r="F98" s="4">
        <f>_xlfn.IFERROR(IF(B98&gt;0,VLOOKUP(B98,'Robot Performance Analysis'!B$7:G$119,4,FALSE),"TBD"),"")</f>
        <v>0</v>
      </c>
      <c r="G98" s="4">
        <f>_xlfn.IFERROR(IF(B98&gt;0,VLOOKUP(B98,'Robot Performance Analysis'!B$7:G$119,5,FALSE),"TBD"),"")</f>
        <v>0</v>
      </c>
      <c r="H98" s="4">
        <f>_xlfn.IFERROR(IF(B98&gt;0,VLOOKUP(B98,'Robot Performance Analysis'!B$7:G$119,6,FALSE),"TBD"),"")</f>
        <v>0</v>
      </c>
      <c r="I98" s="4">
        <f t="shared" si="20"/>
        <v>0</v>
      </c>
      <c r="J98" s="4">
        <f t="shared" si="21"/>
        <v>0</v>
      </c>
      <c r="K98" s="4">
        <f t="shared" si="22"/>
      </c>
      <c r="L98" s="6">
        <f t="shared" si="23"/>
      </c>
      <c r="M98" s="9">
        <f t="shared" si="24"/>
      </c>
      <c r="N98" s="6"/>
      <c r="O98" s="6"/>
      <c r="P98" s="6"/>
      <c r="Q98" s="5">
        <f t="shared" si="25"/>
      </c>
      <c r="R98" s="50">
        <f t="shared" si="26"/>
        <v>9999</v>
      </c>
      <c r="S98" s="6">
        <f t="shared" si="27"/>
      </c>
      <c r="T98" s="57"/>
      <c r="U98" s="6">
        <f t="shared" si="28"/>
      </c>
      <c r="V98" s="57"/>
      <c r="W98" s="8"/>
      <c r="X98" s="7">
        <f t="shared" si="29"/>
      </c>
    </row>
    <row r="99" spans="2:24" ht="24.75" customHeight="1">
      <c r="B99" s="7">
        <f>_xlfn.IFERROR(IF(ISBLANK('Team Information Input'!A92),"",'Team Information Input'!A92),"")</f>
      </c>
      <c r="C99" s="3">
        <f>_xlfn.IFERROR(IF(ISBLANK('Team Information Input'!B92),"",'Team Information Input'!B92),"")</f>
      </c>
      <c r="D99" s="3">
        <f>'Team Information Input'!D92</f>
        <v>0</v>
      </c>
      <c r="E99" s="4">
        <f>_xlfn.IFERROR(I99+J99*10000+K99*100000000,_xlfn.IFERROR(I99*10000+#REF!*100000000,_xlfn.IFERROR(#REF!*100000000,"")))</f>
      </c>
      <c r="F99" s="4">
        <f>_xlfn.IFERROR(IF(B99&gt;0,VLOOKUP(B99,'Robot Performance Analysis'!B$7:G$119,4,FALSE),"TBD"),"")</f>
        <v>0</v>
      </c>
      <c r="G99" s="4">
        <f>_xlfn.IFERROR(IF(B99&gt;0,VLOOKUP(B99,'Robot Performance Analysis'!B$7:G$119,5,FALSE),"TBD"),"")</f>
        <v>0</v>
      </c>
      <c r="H99" s="4">
        <f>_xlfn.IFERROR(IF(B99&gt;0,VLOOKUP(B99,'Robot Performance Analysis'!B$7:G$119,6,FALSE),"TBD"),"")</f>
        <v>0</v>
      </c>
      <c r="I99" s="4">
        <f t="shared" si="20"/>
        <v>0</v>
      </c>
      <c r="J99" s="4">
        <f t="shared" si="21"/>
        <v>0</v>
      </c>
      <c r="K99" s="4">
        <f t="shared" si="22"/>
      </c>
      <c r="L99" s="6">
        <f t="shared" si="23"/>
      </c>
      <c r="M99" s="9">
        <f t="shared" si="24"/>
      </c>
      <c r="N99" s="6"/>
      <c r="O99" s="6"/>
      <c r="P99" s="6"/>
      <c r="Q99" s="5">
        <f t="shared" si="25"/>
      </c>
      <c r="R99" s="50">
        <f t="shared" si="26"/>
        <v>9999</v>
      </c>
      <c r="S99" s="6">
        <f t="shared" si="27"/>
      </c>
      <c r="T99" s="57"/>
      <c r="U99" s="6">
        <f t="shared" si="28"/>
      </c>
      <c r="V99" s="57"/>
      <c r="W99" s="8"/>
      <c r="X99" s="7">
        <f t="shared" si="29"/>
      </c>
    </row>
    <row r="100" spans="2:24" ht="24.75" customHeight="1">
      <c r="B100" s="7">
        <f>_xlfn.IFERROR(IF(ISBLANK('Team Information Input'!A93),"",'Team Information Input'!A93),"")</f>
      </c>
      <c r="C100" s="3">
        <f>_xlfn.IFERROR(IF(ISBLANK('Team Information Input'!B93),"",'Team Information Input'!B93),"")</f>
      </c>
      <c r="D100" s="3">
        <f>'Team Information Input'!D93</f>
        <v>0</v>
      </c>
      <c r="E100" s="4">
        <f>_xlfn.IFERROR(I100+J100*10000+K100*100000000,_xlfn.IFERROR(I100*10000+#REF!*100000000,_xlfn.IFERROR(#REF!*100000000,"")))</f>
      </c>
      <c r="F100" s="4">
        <f>_xlfn.IFERROR(IF(B100&gt;0,VLOOKUP(B100,'Robot Performance Analysis'!B$7:G$119,4,FALSE),"TBD"),"")</f>
        <v>0</v>
      </c>
      <c r="G100" s="4">
        <f>_xlfn.IFERROR(IF(B100&gt;0,VLOOKUP(B100,'Robot Performance Analysis'!B$7:G$119,5,FALSE),"TBD"),"")</f>
        <v>0</v>
      </c>
      <c r="H100" s="4">
        <f>_xlfn.IFERROR(IF(B100&gt;0,VLOOKUP(B100,'Robot Performance Analysis'!B$7:G$119,6,FALSE),"TBD"),"")</f>
        <v>0</v>
      </c>
      <c r="I100" s="4">
        <f t="shared" si="20"/>
        <v>0</v>
      </c>
      <c r="J100" s="4">
        <f t="shared" si="21"/>
        <v>0</v>
      </c>
      <c r="K100" s="4">
        <f t="shared" si="22"/>
      </c>
      <c r="L100" s="6">
        <f t="shared" si="23"/>
      </c>
      <c r="M100" s="9">
        <f t="shared" si="24"/>
      </c>
      <c r="N100" s="6"/>
      <c r="O100" s="6"/>
      <c r="P100" s="6"/>
      <c r="Q100" s="5">
        <f t="shared" si="25"/>
      </c>
      <c r="R100" s="50">
        <f t="shared" si="26"/>
        <v>9999</v>
      </c>
      <c r="S100" s="6">
        <f t="shared" si="27"/>
      </c>
      <c r="T100" s="57"/>
      <c r="U100" s="6">
        <f t="shared" si="28"/>
      </c>
      <c r="V100" s="57"/>
      <c r="W100" s="8"/>
      <c r="X100" s="7">
        <f t="shared" si="29"/>
      </c>
    </row>
    <row r="101" spans="2:24" ht="24.75" customHeight="1">
      <c r="B101" s="7">
        <f>_xlfn.IFERROR(IF(ISBLANK('Team Information Input'!A94),"",'Team Information Input'!A94),"")</f>
      </c>
      <c r="C101" s="3">
        <f>_xlfn.IFERROR(IF(ISBLANK('Team Information Input'!B94),"",'Team Information Input'!B94),"")</f>
      </c>
      <c r="D101" s="3">
        <f>'Team Information Input'!D94</f>
        <v>0</v>
      </c>
      <c r="E101" s="4">
        <f>_xlfn.IFERROR(I101+J101*10000+K101*100000000,_xlfn.IFERROR(I101*10000+#REF!*100000000,_xlfn.IFERROR(#REF!*100000000,"")))</f>
      </c>
      <c r="F101" s="4">
        <f>_xlfn.IFERROR(IF(B101&gt;0,VLOOKUP(B101,'Robot Performance Analysis'!B$7:G$119,4,FALSE),"TBD"),"")</f>
        <v>0</v>
      </c>
      <c r="G101" s="4">
        <f>_xlfn.IFERROR(IF(B101&gt;0,VLOOKUP(B101,'Robot Performance Analysis'!B$7:G$119,5,FALSE),"TBD"),"")</f>
        <v>0</v>
      </c>
      <c r="H101" s="4">
        <f>_xlfn.IFERROR(IF(B101&gt;0,VLOOKUP(B101,'Robot Performance Analysis'!B$7:G$119,6,FALSE),"TBD"),"")</f>
        <v>0</v>
      </c>
      <c r="I101" s="4">
        <f t="shared" si="20"/>
        <v>0</v>
      </c>
      <c r="J101" s="4">
        <f t="shared" si="21"/>
        <v>0</v>
      </c>
      <c r="K101" s="4">
        <f t="shared" si="22"/>
      </c>
      <c r="L101" s="6">
        <f t="shared" si="23"/>
      </c>
      <c r="M101" s="9">
        <f t="shared" si="24"/>
      </c>
      <c r="N101" s="6"/>
      <c r="O101" s="6"/>
      <c r="P101" s="6"/>
      <c r="Q101" s="5">
        <f t="shared" si="25"/>
      </c>
      <c r="R101" s="50">
        <f t="shared" si="26"/>
        <v>9999</v>
      </c>
      <c r="S101" s="6">
        <f t="shared" si="27"/>
      </c>
      <c r="T101" s="57"/>
      <c r="U101" s="6">
        <f t="shared" si="28"/>
      </c>
      <c r="V101" s="57"/>
      <c r="W101" s="8"/>
      <c r="X101" s="7">
        <f t="shared" si="29"/>
      </c>
    </row>
    <row r="102" spans="2:24" ht="24.75" customHeight="1">
      <c r="B102" s="7">
        <f>_xlfn.IFERROR(IF(ISBLANK('Team Information Input'!A95),"",'Team Information Input'!A95),"")</f>
      </c>
      <c r="C102" s="3">
        <f>_xlfn.IFERROR(IF(ISBLANK('Team Information Input'!B95),"",'Team Information Input'!B95),"")</f>
      </c>
      <c r="D102" s="3">
        <f>'Team Information Input'!D95</f>
        <v>0</v>
      </c>
      <c r="E102" s="4">
        <f>_xlfn.IFERROR(I102+J102*10000+K102*100000000,_xlfn.IFERROR(I102*10000+#REF!*100000000,_xlfn.IFERROR(#REF!*100000000,"")))</f>
      </c>
      <c r="F102" s="4">
        <f>_xlfn.IFERROR(IF(B102&gt;0,VLOOKUP(B102,'Robot Performance Analysis'!B$7:G$119,4,FALSE),"TBD"),"")</f>
        <v>0</v>
      </c>
      <c r="G102" s="4">
        <f>_xlfn.IFERROR(IF(B102&gt;0,VLOOKUP(B102,'Robot Performance Analysis'!B$7:G$119,5,FALSE),"TBD"),"")</f>
        <v>0</v>
      </c>
      <c r="H102" s="4">
        <f>_xlfn.IFERROR(IF(B102&gt;0,VLOOKUP(B102,'Robot Performance Analysis'!B$7:G$119,6,FALSE),"TBD"),"")</f>
        <v>0</v>
      </c>
      <c r="I102" s="4">
        <f t="shared" si="20"/>
        <v>0</v>
      </c>
      <c r="J102" s="4">
        <f t="shared" si="21"/>
        <v>0</v>
      </c>
      <c r="K102" s="4">
        <f t="shared" si="22"/>
      </c>
      <c r="L102" s="6">
        <f t="shared" si="23"/>
      </c>
      <c r="M102" s="9">
        <f t="shared" si="24"/>
      </c>
      <c r="N102" s="6"/>
      <c r="O102" s="6"/>
      <c r="P102" s="6"/>
      <c r="Q102" s="5">
        <f t="shared" si="25"/>
      </c>
      <c r="R102" s="50">
        <f t="shared" si="26"/>
        <v>9999</v>
      </c>
      <c r="S102" s="6">
        <f t="shared" si="27"/>
      </c>
      <c r="T102" s="57"/>
      <c r="U102" s="6">
        <f t="shared" si="28"/>
      </c>
      <c r="V102" s="57"/>
      <c r="W102" s="8"/>
      <c r="X102" s="7">
        <f t="shared" si="29"/>
      </c>
    </row>
    <row r="103" spans="2:24" ht="24.75" customHeight="1">
      <c r="B103" s="7">
        <f>_xlfn.IFERROR(IF(ISBLANK('Team Information Input'!A96),"",'Team Information Input'!A96),"")</f>
      </c>
      <c r="C103" s="3">
        <f>_xlfn.IFERROR(IF(ISBLANK('Team Information Input'!B96),"",'Team Information Input'!B96),"")</f>
      </c>
      <c r="D103" s="3">
        <f>'Team Information Input'!D96</f>
        <v>0</v>
      </c>
      <c r="E103" s="4">
        <f>_xlfn.IFERROR(I103+J103*10000+K103*100000000,_xlfn.IFERROR(I103*10000+#REF!*100000000,_xlfn.IFERROR(#REF!*100000000,"")))</f>
      </c>
      <c r="F103" s="4">
        <f>_xlfn.IFERROR(IF(B103&gt;0,VLOOKUP(B103,'Robot Performance Analysis'!B$7:G$119,4,FALSE),"TBD"),"")</f>
        <v>0</v>
      </c>
      <c r="G103" s="4">
        <f>_xlfn.IFERROR(IF(B103&gt;0,VLOOKUP(B103,'Robot Performance Analysis'!B$7:G$119,5,FALSE),"TBD"),"")</f>
        <v>0</v>
      </c>
      <c r="H103" s="4">
        <f>_xlfn.IFERROR(IF(B103&gt;0,VLOOKUP(B103,'Robot Performance Analysis'!B$7:G$119,6,FALSE),"TBD"),"")</f>
        <v>0</v>
      </c>
      <c r="I103" s="4">
        <f t="shared" si="20"/>
        <v>0</v>
      </c>
      <c r="J103" s="4">
        <f t="shared" si="21"/>
        <v>0</v>
      </c>
      <c r="K103" s="4">
        <f t="shared" si="22"/>
      </c>
      <c r="L103" s="6">
        <f t="shared" si="23"/>
      </c>
      <c r="M103" s="9">
        <f t="shared" si="24"/>
      </c>
      <c r="N103" s="6"/>
      <c r="O103" s="6"/>
      <c r="P103" s="6"/>
      <c r="Q103" s="5">
        <f t="shared" si="25"/>
      </c>
      <c r="R103" s="50">
        <f t="shared" si="26"/>
        <v>9999</v>
      </c>
      <c r="S103" s="6">
        <f t="shared" si="27"/>
      </c>
      <c r="T103" s="57"/>
      <c r="U103" s="6">
        <f t="shared" si="28"/>
      </c>
      <c r="V103" s="57"/>
      <c r="W103" s="8"/>
      <c r="X103" s="7">
        <f t="shared" si="29"/>
      </c>
    </row>
    <row r="104" spans="2:24" ht="24.75" customHeight="1">
      <c r="B104" s="7">
        <f>_xlfn.IFERROR(IF(ISBLANK('Team Information Input'!A97),"",'Team Information Input'!A97),"")</f>
      </c>
      <c r="C104" s="3">
        <f>_xlfn.IFERROR(IF(ISBLANK('Team Information Input'!B97),"",'Team Information Input'!B97),"")</f>
      </c>
      <c r="D104" s="3">
        <f>'Team Information Input'!D97</f>
        <v>0</v>
      </c>
      <c r="E104" s="4">
        <f>_xlfn.IFERROR(I104+J104*10000+K104*100000000,_xlfn.IFERROR(I104*10000+#REF!*100000000,_xlfn.IFERROR(#REF!*100000000,"")))</f>
      </c>
      <c r="F104" s="4">
        <f>_xlfn.IFERROR(IF(B104&gt;0,VLOOKUP(B104,'Robot Performance Analysis'!B$7:G$119,4,FALSE),"TBD"),"")</f>
        <v>0</v>
      </c>
      <c r="G104" s="4">
        <f>_xlfn.IFERROR(IF(B104&gt;0,VLOOKUP(B104,'Robot Performance Analysis'!B$7:G$119,5,FALSE),"TBD"),"")</f>
        <v>0</v>
      </c>
      <c r="H104" s="4">
        <f>_xlfn.IFERROR(IF(B104&gt;0,VLOOKUP(B104,'Robot Performance Analysis'!B$7:G$119,6,FALSE),"TBD"),"")</f>
        <v>0</v>
      </c>
      <c r="I104" s="4">
        <f t="shared" si="20"/>
        <v>0</v>
      </c>
      <c r="J104" s="4">
        <f t="shared" si="21"/>
        <v>0</v>
      </c>
      <c r="K104" s="4">
        <f t="shared" si="22"/>
      </c>
      <c r="L104" s="6">
        <f t="shared" si="23"/>
      </c>
      <c r="M104" s="9">
        <f t="shared" si="24"/>
      </c>
      <c r="N104" s="6"/>
      <c r="O104" s="6"/>
      <c r="P104" s="6"/>
      <c r="Q104" s="5">
        <f t="shared" si="25"/>
      </c>
      <c r="R104" s="50">
        <f t="shared" si="26"/>
        <v>9999</v>
      </c>
      <c r="S104" s="6">
        <f t="shared" si="27"/>
      </c>
      <c r="T104" s="57"/>
      <c r="U104" s="6">
        <f t="shared" si="28"/>
      </c>
      <c r="V104" s="57"/>
      <c r="W104" s="8"/>
      <c r="X104" s="7">
        <f t="shared" si="29"/>
      </c>
    </row>
    <row r="105" spans="2:24" ht="24.75" customHeight="1">
      <c r="B105" s="7">
        <f>_xlfn.IFERROR(IF(ISBLANK('Team Information Input'!A98),"",'Team Information Input'!A98),"")</f>
      </c>
      <c r="C105" s="3">
        <f>_xlfn.IFERROR(IF(ISBLANK('Team Information Input'!B98),"",'Team Information Input'!B98),"")</f>
      </c>
      <c r="D105" s="3">
        <f>'Team Information Input'!D98</f>
        <v>0</v>
      </c>
      <c r="E105" s="4">
        <f>_xlfn.IFERROR(I105+J105*10000+K105*100000000,_xlfn.IFERROR(I105*10000+#REF!*100000000,_xlfn.IFERROR(#REF!*100000000,"")))</f>
      </c>
      <c r="F105" s="4">
        <f>_xlfn.IFERROR(IF(B105&gt;0,VLOOKUP(B105,'Robot Performance Analysis'!B$7:G$119,4,FALSE),"TBD"),"")</f>
        <v>0</v>
      </c>
      <c r="G105" s="4">
        <f>_xlfn.IFERROR(IF(B105&gt;0,VLOOKUP(B105,'Robot Performance Analysis'!B$7:G$119,5,FALSE),"TBD"),"")</f>
        <v>0</v>
      </c>
      <c r="H105" s="4">
        <f>_xlfn.IFERROR(IF(B105&gt;0,VLOOKUP(B105,'Robot Performance Analysis'!B$7:G$119,6,FALSE),"TBD"),"")</f>
        <v>0</v>
      </c>
      <c r="I105" s="4">
        <f aca="true" t="shared" si="30" ref="I105:I136">_xlfn.IFERROR(IF(COUNTA(F105:H105)&gt;1,MIN(F105:H105),""),"")</f>
        <v>0</v>
      </c>
      <c r="J105" s="4">
        <f aca="true" t="shared" si="31" ref="J105:J121">_xlfn.IFERROR(IF(COUNTA(F105:H105)&gt;2,MEDIAN(F105:H105)," ")," ")</f>
        <v>0</v>
      </c>
      <c r="K105" s="4">
        <f aca="true" t="shared" si="32" ref="K105:K121">_xlfn.IFERROR(IF(SUM(F105:H105)&gt;0,MAX(F105:H105),""),"")</f>
      </c>
      <c r="L105" s="6">
        <f aca="true" t="shared" si="33" ref="L105:L136">IF(ISNUMBER(K105),IF(F105="TBD","TBD",RANK(E105,E$1:E$65536,0)),"")</f>
      </c>
      <c r="M105" s="9">
        <f aca="true" t="shared" si="34" ref="M105:M136">IF(ISNUMBER(L105),IF(F105="TBD","TBD",L105/MAX(L$1:L$65536)),"")</f>
      </c>
      <c r="N105" s="6"/>
      <c r="O105" s="6"/>
      <c r="P105" s="6"/>
      <c r="Q105" s="5">
        <f aca="true" t="shared" si="35" ref="Q105:Q136">IF(B105="","",IF(AND(ISNUMBER(N105),ISNUMBER(O105),ISNUMBER(P105)),N105+O105+P105,"Ineligible"))</f>
      </c>
      <c r="R105" s="50">
        <f aca="true" t="shared" si="36" ref="R105:R136">_xlfn.IFERROR(STDEV(O105:Q105),9999)</f>
        <v>9999</v>
      </c>
      <c r="S105" s="6">
        <f aca="true" t="shared" si="37" ref="S105:S121">IF(ISBLANK(B105),"",IF(ISNUMBER(Q105),RANK(Q105,Q$1:Q$65536,1),""))</f>
      </c>
      <c r="T105" s="57"/>
      <c r="U105" s="6">
        <f>_xlfn.IFERROR(VLOOKUP(T105,T115:W344,2,0),"")</f>
      </c>
      <c r="V105" s="57"/>
      <c r="W105" s="8"/>
      <c r="X105" s="7">
        <f aca="true" t="shared" si="38" ref="X105:X121">_xlfn.IFERROR(B105,"")</f>
      </c>
    </row>
    <row r="106" spans="2:24" ht="24.75" customHeight="1">
      <c r="B106" s="7">
        <f>_xlfn.IFERROR(IF(ISBLANK('Team Information Input'!A99),"",'Team Information Input'!A99),"")</f>
      </c>
      <c r="C106" s="3">
        <f>_xlfn.IFERROR(IF(ISBLANK('Team Information Input'!B99),"",'Team Information Input'!B99),"")</f>
      </c>
      <c r="D106" s="3">
        <f>'Team Information Input'!D99</f>
        <v>0</v>
      </c>
      <c r="E106" s="4">
        <f>_xlfn.IFERROR(I106+J106*10000+K106*100000000,_xlfn.IFERROR(I106*10000+#REF!*100000000,_xlfn.IFERROR(#REF!*100000000,"")))</f>
      </c>
      <c r="F106" s="4">
        <f>_xlfn.IFERROR(IF(B106&gt;0,VLOOKUP(B106,'Robot Performance Analysis'!B$7:G$119,4,FALSE),"TBD"),"")</f>
        <v>0</v>
      </c>
      <c r="G106" s="4">
        <f>_xlfn.IFERROR(IF(B106&gt;0,VLOOKUP(B106,'Robot Performance Analysis'!B$7:G$119,5,FALSE),"TBD"),"")</f>
        <v>0</v>
      </c>
      <c r="H106" s="4">
        <f>_xlfn.IFERROR(IF(B106&gt;0,VLOOKUP(B106,'Robot Performance Analysis'!B$7:G$119,6,FALSE),"TBD"),"")</f>
        <v>0</v>
      </c>
      <c r="I106" s="4">
        <f t="shared" si="30"/>
        <v>0</v>
      </c>
      <c r="J106" s="4">
        <f t="shared" si="31"/>
        <v>0</v>
      </c>
      <c r="K106" s="4">
        <f t="shared" si="32"/>
      </c>
      <c r="L106" s="6">
        <f t="shared" si="33"/>
      </c>
      <c r="M106" s="9">
        <f t="shared" si="34"/>
      </c>
      <c r="N106" s="6"/>
      <c r="O106" s="6"/>
      <c r="P106" s="6"/>
      <c r="Q106" s="5">
        <f t="shared" si="35"/>
      </c>
      <c r="R106" s="50">
        <f t="shared" si="36"/>
        <v>9999</v>
      </c>
      <c r="S106" s="6">
        <f t="shared" si="37"/>
      </c>
      <c r="T106" s="57"/>
      <c r="U106" s="6">
        <f>_xlfn.IFERROR(VLOOKUP(T106,T116:W345,2,0),"")</f>
      </c>
      <c r="V106" s="57"/>
      <c r="W106" s="8"/>
      <c r="X106" s="7">
        <f t="shared" si="38"/>
      </c>
    </row>
    <row r="107" spans="2:24" ht="24.75" customHeight="1">
      <c r="B107" s="7">
        <f>_xlfn.IFERROR(IF(ISBLANK('Team Information Input'!A100),"",'Team Information Input'!A100),"")</f>
      </c>
      <c r="C107" s="3">
        <f>_xlfn.IFERROR(IF(ISBLANK('Team Information Input'!B100),"",'Team Information Input'!B100),"")</f>
      </c>
      <c r="D107" s="3">
        <f>'Team Information Input'!D100</f>
        <v>0</v>
      </c>
      <c r="E107" s="4">
        <f>_xlfn.IFERROR(I107+J107*10000+K107*100000000,_xlfn.IFERROR(I107*10000+#REF!*100000000,_xlfn.IFERROR(#REF!*100000000,"")))</f>
      </c>
      <c r="F107" s="4">
        <f>_xlfn.IFERROR(IF(B107&gt;0,VLOOKUP(B107,'Robot Performance Analysis'!B$7:G$119,4,FALSE),"TBD"),"")</f>
        <v>0</v>
      </c>
      <c r="G107" s="4">
        <f>_xlfn.IFERROR(IF(B107&gt;0,VLOOKUP(B107,'Robot Performance Analysis'!B$7:G$119,5,FALSE),"TBD"),"")</f>
        <v>0</v>
      </c>
      <c r="H107" s="4">
        <f>_xlfn.IFERROR(IF(B107&gt;0,VLOOKUP(B107,'Robot Performance Analysis'!B$7:G$119,6,FALSE),"TBD"),"")</f>
        <v>0</v>
      </c>
      <c r="I107" s="4">
        <f t="shared" si="30"/>
        <v>0</v>
      </c>
      <c r="J107" s="4">
        <f t="shared" si="31"/>
        <v>0</v>
      </c>
      <c r="K107" s="4">
        <f t="shared" si="32"/>
      </c>
      <c r="L107" s="6">
        <f t="shared" si="33"/>
      </c>
      <c r="M107" s="9">
        <f t="shared" si="34"/>
      </c>
      <c r="N107" s="6"/>
      <c r="O107" s="6"/>
      <c r="P107" s="6"/>
      <c r="Q107" s="5">
        <f t="shared" si="35"/>
      </c>
      <c r="R107" s="50">
        <f t="shared" si="36"/>
        <v>9999</v>
      </c>
      <c r="S107" s="6">
        <f t="shared" si="37"/>
      </c>
      <c r="T107" s="57"/>
      <c r="U107" s="6">
        <f>_xlfn.IFERROR(VLOOKUP(T107,T117:W346,2,0),"")</f>
      </c>
      <c r="V107" s="57"/>
      <c r="W107" s="8"/>
      <c r="X107" s="7">
        <f t="shared" si="38"/>
      </c>
    </row>
    <row r="108" spans="2:24" ht="24.75" customHeight="1">
      <c r="B108" s="7">
        <f>_xlfn.IFERROR(IF(ISBLANK('Team Information Input'!A101),"",'Team Information Input'!A101),"")</f>
      </c>
      <c r="C108" s="3">
        <f>_xlfn.IFERROR(IF(ISBLANK('Team Information Input'!B101),"",'Team Information Input'!B101),"")</f>
      </c>
      <c r="D108" s="3">
        <f>'Team Information Input'!D101</f>
        <v>0</v>
      </c>
      <c r="E108" s="4">
        <f>_xlfn.IFERROR(I108+J108*10000+K108*100000000,_xlfn.IFERROR(I108*10000+#REF!*100000000,_xlfn.IFERROR(#REF!*100000000,"")))</f>
      </c>
      <c r="F108" s="4">
        <f>_xlfn.IFERROR(IF(B108&gt;0,VLOOKUP(B108,'Robot Performance Analysis'!B$7:G$119,4,FALSE),"TBD"),"")</f>
        <v>0</v>
      </c>
      <c r="G108" s="4">
        <f>_xlfn.IFERROR(IF(B108&gt;0,VLOOKUP(B108,'Robot Performance Analysis'!B$7:G$119,5,FALSE),"TBD"),"")</f>
        <v>0</v>
      </c>
      <c r="H108" s="4">
        <f>_xlfn.IFERROR(IF(B108&gt;0,VLOOKUP(B108,'Robot Performance Analysis'!B$7:G$119,6,FALSE),"TBD"),"")</f>
        <v>0</v>
      </c>
      <c r="I108" s="4">
        <f t="shared" si="30"/>
        <v>0</v>
      </c>
      <c r="J108" s="4">
        <f t="shared" si="31"/>
        <v>0</v>
      </c>
      <c r="K108" s="4">
        <f t="shared" si="32"/>
      </c>
      <c r="L108" s="6">
        <f t="shared" si="33"/>
      </c>
      <c r="M108" s="9">
        <f t="shared" si="34"/>
      </c>
      <c r="N108" s="6"/>
      <c r="O108" s="6"/>
      <c r="P108" s="6"/>
      <c r="Q108" s="5">
        <f t="shared" si="35"/>
      </c>
      <c r="R108" s="50">
        <f t="shared" si="36"/>
        <v>9999</v>
      </c>
      <c r="S108" s="6">
        <f t="shared" si="37"/>
      </c>
      <c r="T108" s="57"/>
      <c r="U108" s="6">
        <f>_xlfn.IFERROR(VLOOKUP(T108,T118:W347,2,0),"")</f>
      </c>
      <c r="V108" s="57"/>
      <c r="W108" s="8"/>
      <c r="X108" s="7">
        <f t="shared" si="38"/>
      </c>
    </row>
    <row r="109" spans="2:24" ht="24.75" customHeight="1">
      <c r="B109" s="7">
        <f>_xlfn.IFERROR(IF(ISBLANK('Team Information Input'!A102),"",'Team Information Input'!A102),"")</f>
      </c>
      <c r="C109" s="3">
        <f>_xlfn.IFERROR(IF(ISBLANK('Team Information Input'!B102),"",'Team Information Input'!B102),"")</f>
      </c>
      <c r="D109" s="3">
        <f>'Team Information Input'!D102</f>
        <v>0</v>
      </c>
      <c r="E109" s="4">
        <f>_xlfn.IFERROR(I109+J109*10000+K109*100000000,_xlfn.IFERROR(I109*10000+#REF!*100000000,_xlfn.IFERROR(#REF!*100000000,"")))</f>
      </c>
      <c r="F109" s="4">
        <f>_xlfn.IFERROR(IF(B109&gt;0,VLOOKUP(B109,'Robot Performance Analysis'!B$7:G$119,4,FALSE),"TBD"),"")</f>
        <v>0</v>
      </c>
      <c r="G109" s="4">
        <f>_xlfn.IFERROR(IF(B109&gt;0,VLOOKUP(B109,'Robot Performance Analysis'!B$7:G$119,5,FALSE),"TBD"),"")</f>
        <v>0</v>
      </c>
      <c r="H109" s="4">
        <f>_xlfn.IFERROR(IF(B109&gt;0,VLOOKUP(B109,'Robot Performance Analysis'!B$7:G$119,6,FALSE),"TBD"),"")</f>
        <v>0</v>
      </c>
      <c r="I109" s="4">
        <f t="shared" si="30"/>
        <v>0</v>
      </c>
      <c r="J109" s="4">
        <f t="shared" si="31"/>
        <v>0</v>
      </c>
      <c r="K109" s="4">
        <f t="shared" si="32"/>
      </c>
      <c r="L109" s="6">
        <f t="shared" si="33"/>
      </c>
      <c r="M109" s="9">
        <f t="shared" si="34"/>
      </c>
      <c r="N109" s="6"/>
      <c r="O109" s="6"/>
      <c r="P109" s="6"/>
      <c r="Q109" s="5">
        <f t="shared" si="35"/>
      </c>
      <c r="R109" s="50">
        <f t="shared" si="36"/>
        <v>9999</v>
      </c>
      <c r="S109" s="6">
        <f t="shared" si="37"/>
      </c>
      <c r="T109" s="57"/>
      <c r="U109" s="6">
        <f>_xlfn.IFERROR(VLOOKUP(T109,T119:W348,2,0),"")</f>
      </c>
      <c r="V109" s="57"/>
      <c r="W109" s="8"/>
      <c r="X109" s="7">
        <f t="shared" si="38"/>
      </c>
    </row>
    <row r="110" spans="2:24" ht="24.75" customHeight="1">
      <c r="B110" s="7">
        <f>_xlfn.IFERROR(IF(ISBLANK('Team Information Input'!A103),"",'Team Information Input'!A103),"")</f>
      </c>
      <c r="C110" s="3">
        <f>_xlfn.IFERROR(IF(ISBLANK('Team Information Input'!B103),"",'Team Information Input'!B103),"")</f>
      </c>
      <c r="D110" s="3">
        <f>'Team Information Input'!D103</f>
        <v>0</v>
      </c>
      <c r="E110" s="4">
        <f>_xlfn.IFERROR(I110+J110*10000+K110*100000000,_xlfn.IFERROR(I110*10000+#REF!*100000000,_xlfn.IFERROR(#REF!*100000000,"")))</f>
      </c>
      <c r="F110" s="4">
        <f>_xlfn.IFERROR(IF(B110&gt;0,VLOOKUP(B110,'Robot Performance Analysis'!B$7:G$119,4,FALSE),"TBD"),"")</f>
        <v>0</v>
      </c>
      <c r="G110" s="4">
        <f>_xlfn.IFERROR(IF(B110&gt;0,VLOOKUP(B110,'Robot Performance Analysis'!B$7:G$119,5,FALSE),"TBD"),"")</f>
        <v>0</v>
      </c>
      <c r="H110" s="4">
        <f>_xlfn.IFERROR(IF(B110&gt;0,VLOOKUP(B110,'Robot Performance Analysis'!B$7:G$119,6,FALSE),"TBD"),"")</f>
        <v>0</v>
      </c>
      <c r="I110" s="4">
        <f t="shared" si="30"/>
        <v>0</v>
      </c>
      <c r="J110" s="4">
        <f t="shared" si="31"/>
        <v>0</v>
      </c>
      <c r="K110" s="4">
        <f t="shared" si="32"/>
      </c>
      <c r="L110" s="6">
        <f t="shared" si="33"/>
      </c>
      <c r="M110" s="9">
        <f t="shared" si="34"/>
      </c>
      <c r="N110" s="6"/>
      <c r="O110" s="6"/>
      <c r="P110" s="6"/>
      <c r="Q110" s="5">
        <f t="shared" si="35"/>
      </c>
      <c r="R110" s="50">
        <f t="shared" si="36"/>
        <v>9999</v>
      </c>
      <c r="S110" s="6">
        <f t="shared" si="37"/>
      </c>
      <c r="T110" s="57"/>
      <c r="U110" s="6">
        <f>_xlfn.IFERROR(VLOOKUP(T110,T120:W349,2,0),"")</f>
      </c>
      <c r="V110" s="57"/>
      <c r="W110" s="8"/>
      <c r="X110" s="7">
        <f t="shared" si="38"/>
      </c>
    </row>
    <row r="111" spans="2:24" ht="24.75" customHeight="1">
      <c r="B111" s="7">
        <f>_xlfn.IFERROR(IF(ISBLANK('Team Information Input'!A104),"",'Team Information Input'!A104),"")</f>
      </c>
      <c r="C111" s="3">
        <f>_xlfn.IFERROR(IF(ISBLANK('Team Information Input'!B104),"",'Team Information Input'!B104),"")</f>
      </c>
      <c r="D111" s="3">
        <f>'Team Information Input'!D104</f>
        <v>0</v>
      </c>
      <c r="E111" s="4">
        <f>_xlfn.IFERROR(I111+J111*10000+K111*100000000,_xlfn.IFERROR(I111*10000+#REF!*100000000,_xlfn.IFERROR(#REF!*100000000,"")))</f>
      </c>
      <c r="F111" s="4">
        <f>_xlfn.IFERROR(IF(B111&gt;0,VLOOKUP(B111,'Robot Performance Analysis'!B$7:G$119,4,FALSE),"TBD"),"")</f>
        <v>0</v>
      </c>
      <c r="G111" s="4">
        <f>_xlfn.IFERROR(IF(B111&gt;0,VLOOKUP(B111,'Robot Performance Analysis'!B$7:G$119,5,FALSE),"TBD"),"")</f>
        <v>0</v>
      </c>
      <c r="H111" s="4">
        <f>_xlfn.IFERROR(IF(B111&gt;0,VLOOKUP(B111,'Robot Performance Analysis'!B$7:G$119,6,FALSE),"TBD"),"")</f>
        <v>0</v>
      </c>
      <c r="I111" s="4">
        <f t="shared" si="30"/>
        <v>0</v>
      </c>
      <c r="J111" s="4">
        <f t="shared" si="31"/>
        <v>0</v>
      </c>
      <c r="K111" s="4">
        <f t="shared" si="32"/>
      </c>
      <c r="L111" s="6">
        <f t="shared" si="33"/>
      </c>
      <c r="M111" s="9">
        <f t="shared" si="34"/>
      </c>
      <c r="N111" s="6"/>
      <c r="O111" s="6"/>
      <c r="P111" s="6"/>
      <c r="Q111" s="5">
        <f t="shared" si="35"/>
      </c>
      <c r="R111" s="50">
        <f t="shared" si="36"/>
        <v>9999</v>
      </c>
      <c r="S111" s="6">
        <f t="shared" si="37"/>
      </c>
      <c r="T111" s="57"/>
      <c r="U111" s="6">
        <f>_xlfn.IFERROR(VLOOKUP(T111,T121:W350,2,0),"")</f>
      </c>
      <c r="V111" s="57"/>
      <c r="W111" s="8"/>
      <c r="X111" s="7">
        <f t="shared" si="38"/>
      </c>
    </row>
    <row r="112" spans="2:24" ht="24.75" customHeight="1">
      <c r="B112" s="7">
        <f>_xlfn.IFERROR(IF(ISBLANK('Team Information Input'!A105),"",'Team Information Input'!A105),"")</f>
      </c>
      <c r="C112" s="3">
        <f>_xlfn.IFERROR(IF(ISBLANK('Team Information Input'!B105),"",'Team Information Input'!B105),"")</f>
      </c>
      <c r="D112" s="3">
        <f>'Team Information Input'!D105</f>
        <v>0</v>
      </c>
      <c r="E112" s="4">
        <f>_xlfn.IFERROR(I112+J112*10000+K112*100000000,_xlfn.IFERROR(I112*10000+#REF!*100000000,_xlfn.IFERROR(#REF!*100000000,0)))</f>
        <v>0</v>
      </c>
      <c r="F112" s="4">
        <f>_xlfn.IFERROR(IF(B112&gt;0,VLOOKUP(B112,'Robot Performance Analysis'!B$7:G$119,4,FALSE),"TBD"),"")</f>
        <v>0</v>
      </c>
      <c r="G112" s="4">
        <f>_xlfn.IFERROR(IF(B112&gt;0,VLOOKUP(B112,'Robot Performance Analysis'!B$7:G$119,5,FALSE),"TBD"),"")</f>
        <v>0</v>
      </c>
      <c r="H112" s="4">
        <f>_xlfn.IFERROR(IF(B112&gt;0,VLOOKUP(B112,'Robot Performance Analysis'!B$7:G$119,6,FALSE),"TBD"),"")</f>
        <v>0</v>
      </c>
      <c r="I112" s="4">
        <f t="shared" si="30"/>
        <v>0</v>
      </c>
      <c r="J112" s="4">
        <f t="shared" si="31"/>
        <v>0</v>
      </c>
      <c r="K112" s="4">
        <f t="shared" si="32"/>
      </c>
      <c r="L112" s="6">
        <f t="shared" si="33"/>
      </c>
      <c r="M112" s="9">
        <f t="shared" si="34"/>
      </c>
      <c r="N112" s="6"/>
      <c r="O112" s="6"/>
      <c r="P112" s="6"/>
      <c r="Q112" s="5">
        <f t="shared" si="35"/>
      </c>
      <c r="R112" s="50">
        <f t="shared" si="36"/>
        <v>9999</v>
      </c>
      <c r="S112" s="6">
        <f t="shared" si="37"/>
      </c>
      <c r="T112" s="57"/>
      <c r="U112" s="6">
        <f>_xlfn.IFERROR(VLOOKUP(T112,T122:W351,2,0),"")</f>
      </c>
      <c r="V112" s="57"/>
      <c r="W112" s="8"/>
      <c r="X112" s="7">
        <f t="shared" si="38"/>
      </c>
    </row>
    <row r="113" spans="2:24" ht="24.75" customHeight="1">
      <c r="B113" s="7">
        <f>_xlfn.IFERROR(IF(ISBLANK('Team Information Input'!A106),"",'Team Information Input'!A106),"")</f>
      </c>
      <c r="C113" s="3">
        <f>_xlfn.IFERROR(IF(ISBLANK('Team Information Input'!B106),"",'Team Information Input'!B106),"")</f>
      </c>
      <c r="D113" s="3">
        <f>'Team Information Input'!D106</f>
        <v>0</v>
      </c>
      <c r="E113" s="4">
        <f>_xlfn.IFERROR(I113+J113*10000+K113*100000000,_xlfn.IFERROR(I113*10000+#REF!*100000000,_xlfn.IFERROR(#REF!*100000000,0)))</f>
        <v>0</v>
      </c>
      <c r="F113" s="4">
        <f>_xlfn.IFERROR(IF(B113&gt;0,VLOOKUP(B113,'Robot Performance Analysis'!B$7:G$119,4,FALSE),"TBD"),"")</f>
        <v>0</v>
      </c>
      <c r="G113" s="4">
        <f>_xlfn.IFERROR(IF(B113&gt;0,VLOOKUP(B113,'Robot Performance Analysis'!B$7:G$119,5,FALSE),"TBD"),"")</f>
        <v>0</v>
      </c>
      <c r="H113" s="4">
        <f>_xlfn.IFERROR(IF(B113&gt;0,VLOOKUP(B113,'Robot Performance Analysis'!B$7:G$119,6,FALSE),"TBD"),"")</f>
        <v>0</v>
      </c>
      <c r="I113" s="4">
        <f t="shared" si="30"/>
        <v>0</v>
      </c>
      <c r="J113" s="4">
        <f t="shared" si="31"/>
        <v>0</v>
      </c>
      <c r="K113" s="4">
        <f t="shared" si="32"/>
      </c>
      <c r="L113" s="6">
        <f t="shared" si="33"/>
      </c>
      <c r="M113" s="9">
        <f t="shared" si="34"/>
      </c>
      <c r="N113" s="6"/>
      <c r="O113" s="6"/>
      <c r="P113" s="6"/>
      <c r="Q113" s="5">
        <f t="shared" si="35"/>
      </c>
      <c r="R113" s="50">
        <f t="shared" si="36"/>
        <v>9999</v>
      </c>
      <c r="S113" s="6">
        <f t="shared" si="37"/>
      </c>
      <c r="T113" s="57"/>
      <c r="U113" s="6">
        <f>_xlfn.IFERROR(VLOOKUP(T113,T129:W352,2,0),"")</f>
      </c>
      <c r="V113" s="57"/>
      <c r="W113" s="8"/>
      <c r="X113" s="7">
        <f t="shared" si="38"/>
      </c>
    </row>
    <row r="114" spans="2:24" ht="24.75" customHeight="1">
      <c r="B114" s="7">
        <f>_xlfn.IFERROR(IF(ISBLANK('Team Information Input'!A107),"",'Team Information Input'!A107),"")</f>
      </c>
      <c r="C114" s="3">
        <f>_xlfn.IFERROR(IF(ISBLANK('Team Information Input'!B107),"",'Team Information Input'!B107),"")</f>
      </c>
      <c r="D114" s="3">
        <f>'Team Information Input'!D107</f>
        <v>0</v>
      </c>
      <c r="E114" s="4">
        <f>_xlfn.IFERROR(I114+J114*10000+K114*100000000,_xlfn.IFERROR(I114*10000+#REF!*100000000,_xlfn.IFERROR(#REF!*100000000,0)))</f>
        <v>0</v>
      </c>
      <c r="F114" s="4">
        <f>_xlfn.IFERROR(IF(B114&gt;0,VLOOKUP(B114,'Robot Performance Analysis'!B$7:G$119,4,FALSE),"TBD"),"")</f>
        <v>0</v>
      </c>
      <c r="G114" s="4">
        <f>_xlfn.IFERROR(IF(B114&gt;0,VLOOKUP(B114,'Robot Performance Analysis'!B$7:G$119,5,FALSE),"TBD"),"")</f>
        <v>0</v>
      </c>
      <c r="H114" s="4">
        <f>_xlfn.IFERROR(IF(B114&gt;0,VLOOKUP(B114,'Robot Performance Analysis'!B$7:G$119,6,FALSE),"TBD"),"")</f>
        <v>0</v>
      </c>
      <c r="I114" s="4">
        <f t="shared" si="30"/>
        <v>0</v>
      </c>
      <c r="J114" s="4">
        <f t="shared" si="31"/>
        <v>0</v>
      </c>
      <c r="K114" s="4">
        <f t="shared" si="32"/>
      </c>
      <c r="L114" s="6">
        <f t="shared" si="33"/>
      </c>
      <c r="M114" s="9">
        <f t="shared" si="34"/>
      </c>
      <c r="N114" s="6"/>
      <c r="O114" s="6"/>
      <c r="P114" s="6"/>
      <c r="Q114" s="5">
        <f t="shared" si="35"/>
      </c>
      <c r="R114" s="50">
        <f t="shared" si="36"/>
        <v>9999</v>
      </c>
      <c r="S114" s="6">
        <f t="shared" si="37"/>
      </c>
      <c r="T114" s="57"/>
      <c r="U114" s="6">
        <f>_xlfn.IFERROR(VLOOKUP(T114,T132:W353,2,0),"")</f>
      </c>
      <c r="V114" s="57"/>
      <c r="W114" s="8"/>
      <c r="X114" s="7">
        <f t="shared" si="38"/>
      </c>
    </row>
    <row r="115" spans="2:24" ht="24.75" customHeight="1">
      <c r="B115" s="7">
        <f>_xlfn.IFERROR(IF(ISBLANK('Team Information Input'!A108),"",'Team Information Input'!A108),"")</f>
      </c>
      <c r="C115" s="3">
        <f>_xlfn.IFERROR(IF(ISBLANK('Team Information Input'!B108),"",'Team Information Input'!B108),"")</f>
      </c>
      <c r="D115" s="3">
        <f>'Team Information Input'!D108</f>
        <v>0</v>
      </c>
      <c r="E115" s="4">
        <f>_xlfn.IFERROR(I115+J115*10000+K115*100000000,_xlfn.IFERROR(I115*10000+#REF!*100000000,_xlfn.IFERROR(#REF!*100000000,0)))</f>
        <v>0</v>
      </c>
      <c r="F115" s="4">
        <f>_xlfn.IFERROR(IF(B115&gt;0,VLOOKUP(B115,'Robot Performance Analysis'!B$7:G$119,4,FALSE),"TBD"),"")</f>
        <v>0</v>
      </c>
      <c r="G115" s="4">
        <f>_xlfn.IFERROR(IF(B115&gt;0,VLOOKUP(B115,'Robot Performance Analysis'!B$7:G$119,5,FALSE),"TBD"),"")</f>
        <v>0</v>
      </c>
      <c r="H115" s="4">
        <f>_xlfn.IFERROR(IF(B115&gt;0,VLOOKUP(B115,'Robot Performance Analysis'!B$7:G$119,6,FALSE),"TBD"),"")</f>
        <v>0</v>
      </c>
      <c r="I115" s="4">
        <f t="shared" si="30"/>
        <v>0</v>
      </c>
      <c r="J115" s="4">
        <f t="shared" si="31"/>
        <v>0</v>
      </c>
      <c r="K115" s="4">
        <f t="shared" si="32"/>
      </c>
      <c r="L115" s="6">
        <f t="shared" si="33"/>
      </c>
      <c r="M115" s="9">
        <f t="shared" si="34"/>
      </c>
      <c r="N115" s="6"/>
      <c r="O115" s="6"/>
      <c r="P115" s="6"/>
      <c r="Q115" s="5">
        <f t="shared" si="35"/>
      </c>
      <c r="R115" s="50">
        <f t="shared" si="36"/>
        <v>9999</v>
      </c>
      <c r="S115" s="6">
        <f t="shared" si="37"/>
      </c>
      <c r="T115" s="57"/>
      <c r="U115" s="6">
        <f>_xlfn.IFERROR(VLOOKUP(T115,T133:W354,2,0),"")</f>
      </c>
      <c r="V115" s="57"/>
      <c r="W115" s="8"/>
      <c r="X115" s="7">
        <f t="shared" si="38"/>
      </c>
    </row>
    <row r="116" spans="2:24" ht="24.75" customHeight="1">
      <c r="B116" s="7">
        <f>_xlfn.IFERROR(IF(ISBLANK('Team Information Input'!A109),"",'Team Information Input'!A109),"")</f>
      </c>
      <c r="C116" s="3">
        <f>_xlfn.IFERROR(IF(ISBLANK('Team Information Input'!B109),"",'Team Information Input'!B109),"")</f>
      </c>
      <c r="D116" s="3">
        <f>'Team Information Input'!D109</f>
        <v>0</v>
      </c>
      <c r="E116" s="4">
        <f>_xlfn.IFERROR(I116+J116*10000+K116*100000000,_xlfn.IFERROR(I116*10000+#REF!*100000000,_xlfn.IFERROR(#REF!*100000000,0)))</f>
        <v>0</v>
      </c>
      <c r="F116" s="4">
        <f>_xlfn.IFERROR(IF(B116&gt;0,VLOOKUP(B116,'Robot Performance Analysis'!B$7:G$119,4,FALSE),"TBD"),"")</f>
        <v>0</v>
      </c>
      <c r="G116" s="4">
        <f>_xlfn.IFERROR(IF(B116&gt;0,VLOOKUP(B116,'Robot Performance Analysis'!B$7:G$119,5,FALSE),"TBD"),"")</f>
        <v>0</v>
      </c>
      <c r="H116" s="4">
        <f>_xlfn.IFERROR(IF(B116&gt;0,VLOOKUP(B116,'Robot Performance Analysis'!B$7:G$119,6,FALSE),"TBD"),"")</f>
        <v>0</v>
      </c>
      <c r="I116" s="4">
        <f t="shared" si="30"/>
        <v>0</v>
      </c>
      <c r="J116" s="4">
        <f t="shared" si="31"/>
        <v>0</v>
      </c>
      <c r="K116" s="4">
        <f t="shared" si="32"/>
      </c>
      <c r="L116" s="6">
        <f t="shared" si="33"/>
      </c>
      <c r="M116" s="9">
        <f t="shared" si="34"/>
      </c>
      <c r="N116" s="6"/>
      <c r="O116" s="6"/>
      <c r="P116" s="6"/>
      <c r="Q116" s="5">
        <f t="shared" si="35"/>
      </c>
      <c r="R116" s="50">
        <f t="shared" si="36"/>
        <v>9999</v>
      </c>
      <c r="S116" s="6">
        <f t="shared" si="37"/>
      </c>
      <c r="T116" s="57"/>
      <c r="U116" s="6">
        <f aca="true" t="shared" si="39" ref="U116:U121">_xlfn.IFERROR(VLOOKUP(T116,T126:W355,2,0),"")</f>
      </c>
      <c r="V116" s="57"/>
      <c r="W116" s="8"/>
      <c r="X116" s="7">
        <f t="shared" si="38"/>
      </c>
    </row>
    <row r="117" spans="2:24" ht="24.75" customHeight="1">
      <c r="B117" s="7">
        <f>_xlfn.IFERROR(IF(ISBLANK('Team Information Input'!A110),"",'Team Information Input'!A110),"")</f>
      </c>
      <c r="C117" s="3">
        <f>_xlfn.IFERROR(IF(ISBLANK('Team Information Input'!B110),"",'Team Information Input'!B110),"")</f>
      </c>
      <c r="D117" s="3">
        <f>'Team Information Input'!D110</f>
        <v>0</v>
      </c>
      <c r="E117" s="4">
        <f>_xlfn.IFERROR(I117+J117*10000+K117*100000000,_xlfn.IFERROR(I117*10000+#REF!*100000000,_xlfn.IFERROR(#REF!*100000000,0)))</f>
        <v>0</v>
      </c>
      <c r="F117" s="4">
        <f>_xlfn.IFERROR(IF(B117&gt;0,VLOOKUP(B117,'Robot Performance Analysis'!B$7:G$119,4,FALSE),"TBD"),"")</f>
        <v>0</v>
      </c>
      <c r="G117" s="4">
        <f>_xlfn.IFERROR(IF(B117&gt;0,VLOOKUP(B117,'Robot Performance Analysis'!B$7:G$119,5,FALSE),"TBD"),"")</f>
        <v>0</v>
      </c>
      <c r="H117" s="4">
        <f>_xlfn.IFERROR(IF(B117&gt;0,VLOOKUP(B117,'Robot Performance Analysis'!B$7:G$119,6,FALSE),"TBD"),"")</f>
        <v>0</v>
      </c>
      <c r="I117" s="4">
        <f t="shared" si="30"/>
        <v>0</v>
      </c>
      <c r="J117" s="4">
        <f t="shared" si="31"/>
        <v>0</v>
      </c>
      <c r="K117" s="4">
        <f t="shared" si="32"/>
      </c>
      <c r="L117" s="6">
        <f t="shared" si="33"/>
      </c>
      <c r="M117" s="9">
        <f t="shared" si="34"/>
      </c>
      <c r="N117" s="6"/>
      <c r="O117" s="6"/>
      <c r="P117" s="6"/>
      <c r="Q117" s="5">
        <f t="shared" si="35"/>
      </c>
      <c r="R117" s="50">
        <f t="shared" si="36"/>
        <v>9999</v>
      </c>
      <c r="S117" s="6">
        <f t="shared" si="37"/>
      </c>
      <c r="T117" s="57"/>
      <c r="U117" s="6">
        <f t="shared" si="39"/>
      </c>
      <c r="V117" s="57"/>
      <c r="W117" s="8"/>
      <c r="X117" s="7">
        <f t="shared" si="38"/>
      </c>
    </row>
    <row r="118" spans="2:24" ht="24.75" customHeight="1">
      <c r="B118" s="7">
        <f>_xlfn.IFERROR(IF(ISBLANK('Team Information Input'!A111),"",'Team Information Input'!A111),"")</f>
      </c>
      <c r="C118" s="3">
        <f>_xlfn.IFERROR(IF(ISBLANK('Team Information Input'!B111),"",'Team Information Input'!B111),"")</f>
      </c>
      <c r="D118" s="3">
        <f>'Team Information Input'!D111</f>
        <v>0</v>
      </c>
      <c r="E118" s="4">
        <f>_xlfn.IFERROR(I118+J118*10000+K118*100000000,_xlfn.IFERROR(I118*10000+#REF!*100000000,_xlfn.IFERROR(#REF!*100000000,0)))</f>
        <v>0</v>
      </c>
      <c r="F118" s="4">
        <f>_xlfn.IFERROR(IF(B118&gt;0,VLOOKUP(B118,'Robot Performance Analysis'!B$7:G$119,4,FALSE),"TBD"),"")</f>
        <v>0</v>
      </c>
      <c r="G118" s="4">
        <f>_xlfn.IFERROR(IF(B118&gt;0,VLOOKUP(B118,'Robot Performance Analysis'!B$7:G$119,5,FALSE),"TBD"),"")</f>
        <v>0</v>
      </c>
      <c r="H118" s="4">
        <f>_xlfn.IFERROR(IF(B118&gt;0,VLOOKUP(B118,'Robot Performance Analysis'!B$7:G$119,6,FALSE),"TBD"),"")</f>
        <v>0</v>
      </c>
      <c r="I118" s="4">
        <f t="shared" si="30"/>
        <v>0</v>
      </c>
      <c r="J118" s="4">
        <f t="shared" si="31"/>
        <v>0</v>
      </c>
      <c r="K118" s="4">
        <f t="shared" si="32"/>
      </c>
      <c r="L118" s="6">
        <f t="shared" si="33"/>
      </c>
      <c r="M118" s="9">
        <f t="shared" si="34"/>
      </c>
      <c r="N118" s="6"/>
      <c r="O118" s="6"/>
      <c r="P118" s="6"/>
      <c r="Q118" s="5">
        <f t="shared" si="35"/>
      </c>
      <c r="R118" s="50">
        <f t="shared" si="36"/>
        <v>9999</v>
      </c>
      <c r="S118" s="6">
        <f t="shared" si="37"/>
      </c>
      <c r="T118" s="57"/>
      <c r="U118" s="6">
        <f t="shared" si="39"/>
      </c>
      <c r="V118" s="57"/>
      <c r="W118" s="8"/>
      <c r="X118" s="7">
        <f t="shared" si="38"/>
      </c>
    </row>
    <row r="119" spans="2:24" ht="24.75" customHeight="1">
      <c r="B119" s="7">
        <f>_xlfn.IFERROR(IF(ISBLANK('Team Information Input'!A112),"",'Team Information Input'!A112),"")</f>
      </c>
      <c r="C119" s="3">
        <f>_xlfn.IFERROR(IF(ISBLANK('Team Information Input'!B112),"",'Team Information Input'!B112),"")</f>
      </c>
      <c r="D119" s="3">
        <f>'Team Information Input'!D112</f>
        <v>0</v>
      </c>
      <c r="E119" s="4">
        <f>_xlfn.IFERROR(I119+J119*10000+K119*100000000,_xlfn.IFERROR(I119*10000+#REF!*100000000,_xlfn.IFERROR(#REF!*100000000,0)))</f>
        <v>0</v>
      </c>
      <c r="F119" s="4">
        <f>_xlfn.IFERROR(IF(B119&gt;0,VLOOKUP(B119,'Robot Performance Analysis'!B$7:G$119,4,FALSE),"TBD"),"")</f>
        <v>0</v>
      </c>
      <c r="G119" s="4">
        <f>_xlfn.IFERROR(IF(B119&gt;0,VLOOKUP(B119,'Robot Performance Analysis'!B$7:G$119,5,FALSE),"TBD"),"")</f>
        <v>0</v>
      </c>
      <c r="H119" s="4">
        <f>_xlfn.IFERROR(IF(B119&gt;0,VLOOKUP(B119,'Robot Performance Analysis'!B$7:G$119,6,FALSE),"TBD"),"")</f>
        <v>0</v>
      </c>
      <c r="I119" s="4">
        <f t="shared" si="30"/>
        <v>0</v>
      </c>
      <c r="J119" s="4">
        <f t="shared" si="31"/>
        <v>0</v>
      </c>
      <c r="K119" s="4">
        <f t="shared" si="32"/>
      </c>
      <c r="L119" s="6">
        <f t="shared" si="33"/>
      </c>
      <c r="M119" s="9">
        <f t="shared" si="34"/>
      </c>
      <c r="N119" s="6"/>
      <c r="O119" s="6"/>
      <c r="P119" s="6"/>
      <c r="Q119" s="5">
        <f t="shared" si="35"/>
      </c>
      <c r="R119" s="50">
        <f t="shared" si="36"/>
        <v>9999</v>
      </c>
      <c r="S119" s="6">
        <f t="shared" si="37"/>
      </c>
      <c r="T119" s="57"/>
      <c r="U119" s="6">
        <f t="shared" si="39"/>
      </c>
      <c r="V119" s="57"/>
      <c r="W119" s="8"/>
      <c r="X119" s="7">
        <f t="shared" si="38"/>
      </c>
    </row>
    <row r="120" spans="2:24" ht="24.75" customHeight="1">
      <c r="B120" s="7">
        <f>_xlfn.IFERROR(IF(ISBLANK('Team Information Input'!A113),"",'Team Information Input'!A113),"")</f>
      </c>
      <c r="C120" s="3">
        <f>_xlfn.IFERROR(IF(ISBLANK('Team Information Input'!B113),"",'Team Information Input'!B113),"")</f>
      </c>
      <c r="D120" s="3">
        <f>'Team Information Input'!D113</f>
        <v>0</v>
      </c>
      <c r="E120" s="4">
        <f>_xlfn.IFERROR(I120+J120*10000+K120*100000000,_xlfn.IFERROR(I120*10000+#REF!*100000000,_xlfn.IFERROR(#REF!*100000000,0)))</f>
        <v>0</v>
      </c>
      <c r="F120" s="4">
        <f>_xlfn.IFERROR(IF(B120&gt;0,VLOOKUP(B120,'Robot Performance Analysis'!B$7:G$119,4,FALSE),"TBD"),"")</f>
        <v>0</v>
      </c>
      <c r="G120" s="4">
        <f>_xlfn.IFERROR(IF(B120&gt;0,VLOOKUP(B120,'Robot Performance Analysis'!B$7:G$119,5,FALSE),"TBD"),"")</f>
        <v>0</v>
      </c>
      <c r="H120" s="4">
        <f>_xlfn.IFERROR(IF(B120&gt;0,VLOOKUP(B120,'Robot Performance Analysis'!B$7:G$119,6,FALSE),"TBD"),"")</f>
        <v>0</v>
      </c>
      <c r="I120" s="4">
        <f t="shared" si="30"/>
        <v>0</v>
      </c>
      <c r="J120" s="4">
        <f t="shared" si="31"/>
        <v>0</v>
      </c>
      <c r="K120" s="4">
        <f t="shared" si="32"/>
      </c>
      <c r="L120" s="6">
        <f t="shared" si="33"/>
      </c>
      <c r="M120" s="9">
        <f t="shared" si="34"/>
      </c>
      <c r="N120" s="6"/>
      <c r="O120" s="6"/>
      <c r="P120" s="6"/>
      <c r="Q120" s="5">
        <f t="shared" si="35"/>
      </c>
      <c r="R120" s="50">
        <f t="shared" si="36"/>
        <v>9999</v>
      </c>
      <c r="S120" s="6">
        <f t="shared" si="37"/>
      </c>
      <c r="T120" s="57"/>
      <c r="U120" s="6">
        <f t="shared" si="39"/>
      </c>
      <c r="V120" s="57"/>
      <c r="W120" s="8"/>
      <c r="X120" s="7">
        <f t="shared" si="38"/>
      </c>
    </row>
    <row r="121" spans="2:24" ht="24.75" customHeight="1">
      <c r="B121" s="7">
        <f>_xlfn.IFERROR(IF(ISBLANK('Team Information Input'!A114),"",'Team Information Input'!A114),"")</f>
      </c>
      <c r="C121" s="3">
        <f>_xlfn.IFERROR(IF(ISBLANK('Team Information Input'!B114),"",'Team Information Input'!B114),"")</f>
      </c>
      <c r="D121" s="3">
        <f>'Team Information Input'!D114</f>
        <v>0</v>
      </c>
      <c r="E121" s="4">
        <f>_xlfn.IFERROR(I121+J121*10000+K121*100000000,_xlfn.IFERROR(I121*10000+#REF!*100000000,_xlfn.IFERROR(#REF!*100000000,0)))</f>
        <v>0</v>
      </c>
      <c r="F121" s="4">
        <f>_xlfn.IFERROR(IF(B121&gt;0,VLOOKUP(B121,'Robot Performance Analysis'!B$7:G$119,4,FALSE),"TBD"),"")</f>
        <v>0</v>
      </c>
      <c r="G121" s="4">
        <f>_xlfn.IFERROR(IF(B121&gt;0,VLOOKUP(B121,'Robot Performance Analysis'!B$7:G$119,5,FALSE),"TBD"),"")</f>
        <v>0</v>
      </c>
      <c r="H121" s="4">
        <f>_xlfn.IFERROR(IF(B121&gt;0,VLOOKUP(B121,'Robot Performance Analysis'!B$7:G$119,6,FALSE),"TBD"),"")</f>
        <v>0</v>
      </c>
      <c r="I121" s="4">
        <f t="shared" si="30"/>
        <v>0</v>
      </c>
      <c r="J121" s="4">
        <f t="shared" si="31"/>
        <v>0</v>
      </c>
      <c r="K121" s="4">
        <f t="shared" si="32"/>
      </c>
      <c r="L121" s="6">
        <f t="shared" si="33"/>
      </c>
      <c r="M121" s="9">
        <f t="shared" si="34"/>
      </c>
      <c r="N121" s="6"/>
      <c r="O121" s="6"/>
      <c r="P121" s="6"/>
      <c r="Q121" s="5">
        <f t="shared" si="35"/>
      </c>
      <c r="R121" s="50">
        <f t="shared" si="36"/>
        <v>9999</v>
      </c>
      <c r="S121" s="6">
        <f t="shared" si="37"/>
      </c>
      <c r="T121" s="57"/>
      <c r="U121" s="6">
        <f t="shared" si="39"/>
      </c>
      <c r="V121" s="57"/>
      <c r="W121" s="8"/>
      <c r="X121" s="7">
        <f t="shared" si="38"/>
      </c>
    </row>
    <row r="122" spans="2:13" ht="12.75">
      <c r="B122" s="67"/>
      <c r="C122" s="68"/>
      <c r="D122" s="68"/>
      <c r="E122" s="68"/>
      <c r="F122" s="68"/>
      <c r="G122" s="68"/>
      <c r="H122" s="68"/>
      <c r="I122" s="68"/>
      <c r="J122" s="68"/>
      <c r="K122" s="68"/>
      <c r="L122" s="68"/>
      <c r="M122" s="68"/>
    </row>
    <row r="123" ht="12.75">
      <c r="T123" s="79"/>
    </row>
    <row r="126" spans="20:23" ht="12.75">
      <c r="T126" s="101" t="s">
        <v>164</v>
      </c>
      <c r="U126" s="101"/>
      <c r="V126" s="101" t="s">
        <v>165</v>
      </c>
      <c r="W126" s="101"/>
    </row>
    <row r="127" spans="20:23" ht="12.75">
      <c r="T127" s="56" t="s">
        <v>50</v>
      </c>
      <c r="U127" s="36" t="s">
        <v>170</v>
      </c>
      <c r="V127" s="56" t="s">
        <v>50</v>
      </c>
      <c r="W127" s="36" t="s">
        <v>44</v>
      </c>
    </row>
    <row r="128" spans="20:23" ht="12.75">
      <c r="T128" s="57" t="s">
        <v>53</v>
      </c>
      <c r="U128" s="6" t="s">
        <v>57</v>
      </c>
      <c r="V128" s="57" t="s">
        <v>142</v>
      </c>
      <c r="W128" s="8" t="s">
        <v>41</v>
      </c>
    </row>
    <row r="129" spans="20:23" ht="12.75">
      <c r="T129" s="57" t="s">
        <v>54</v>
      </c>
      <c r="U129" s="6" t="s">
        <v>58</v>
      </c>
      <c r="V129" s="57" t="s">
        <v>143</v>
      </c>
      <c r="W129" s="8" t="s">
        <v>41</v>
      </c>
    </row>
    <row r="130" spans="20:23" ht="12.75">
      <c r="T130" s="57" t="s">
        <v>55</v>
      </c>
      <c r="U130" s="6" t="s">
        <v>59</v>
      </c>
      <c r="V130" s="57" t="s">
        <v>144</v>
      </c>
      <c r="W130" s="8" t="s">
        <v>41</v>
      </c>
    </row>
    <row r="131" spans="20:23" ht="12.75">
      <c r="T131" s="57" t="s">
        <v>56</v>
      </c>
      <c r="U131" s="6" t="s">
        <v>60</v>
      </c>
      <c r="V131" s="57" t="s">
        <v>145</v>
      </c>
      <c r="W131" s="8" t="s">
        <v>41</v>
      </c>
    </row>
    <row r="132" spans="20:23" ht="12.75">
      <c r="T132" s="57" t="s">
        <v>463</v>
      </c>
      <c r="U132" s="6" t="s">
        <v>458</v>
      </c>
      <c r="V132" s="57" t="s">
        <v>146</v>
      </c>
      <c r="W132" s="8" t="s">
        <v>41</v>
      </c>
    </row>
    <row r="133" spans="20:23" ht="12.75">
      <c r="T133" s="57" t="s">
        <v>81</v>
      </c>
      <c r="U133" s="6" t="s">
        <v>52</v>
      </c>
      <c r="V133" s="57" t="s">
        <v>147</v>
      </c>
      <c r="W133" s="8" t="s">
        <v>41</v>
      </c>
    </row>
    <row r="134" spans="20:23" ht="12.75">
      <c r="T134" s="57" t="s">
        <v>80</v>
      </c>
      <c r="U134" s="6" t="s">
        <v>109</v>
      </c>
      <c r="V134" s="57" t="s">
        <v>148</v>
      </c>
      <c r="W134" s="8" t="s">
        <v>41</v>
      </c>
    </row>
    <row r="135" spans="20:23" ht="12.75">
      <c r="T135" s="57" t="s">
        <v>79</v>
      </c>
      <c r="U135" s="6" t="s">
        <v>110</v>
      </c>
      <c r="V135" s="57" t="s">
        <v>158</v>
      </c>
      <c r="W135" s="8" t="s">
        <v>42</v>
      </c>
    </row>
    <row r="136" spans="20:23" ht="12.75">
      <c r="T136" s="57" t="s">
        <v>116</v>
      </c>
      <c r="U136" s="6" t="s">
        <v>108</v>
      </c>
      <c r="V136" s="57" t="s">
        <v>159</v>
      </c>
      <c r="W136" s="8" t="s">
        <v>42</v>
      </c>
    </row>
    <row r="137" spans="20:21" ht="12.75">
      <c r="T137" s="57" t="s">
        <v>464</v>
      </c>
      <c r="U137" s="6" t="s">
        <v>461</v>
      </c>
    </row>
    <row r="138" spans="20:21" ht="12.75">
      <c r="T138" s="57" t="s">
        <v>94</v>
      </c>
      <c r="U138" s="6" t="s">
        <v>107</v>
      </c>
    </row>
    <row r="139" spans="20:22" ht="12.75">
      <c r="T139" s="57" t="s">
        <v>95</v>
      </c>
      <c r="U139" s="6" t="s">
        <v>106</v>
      </c>
      <c r="V139" s="1"/>
    </row>
    <row r="140" spans="20:22" ht="12.75">
      <c r="T140" s="57" t="s">
        <v>96</v>
      </c>
      <c r="U140" s="6" t="s">
        <v>114</v>
      </c>
      <c r="V140" s="1"/>
    </row>
    <row r="141" spans="20:22" ht="12.75">
      <c r="T141" s="57" t="s">
        <v>171</v>
      </c>
      <c r="U141" s="6" t="s">
        <v>227</v>
      </c>
      <c r="V141" s="1"/>
    </row>
    <row r="142" spans="20:22" ht="12.75">
      <c r="T142" s="57" t="s">
        <v>172</v>
      </c>
      <c r="U142" s="6" t="s">
        <v>227</v>
      </c>
      <c r="V142" s="1"/>
    </row>
    <row r="143" spans="20:22" ht="12.75">
      <c r="T143" s="57" t="s">
        <v>82</v>
      </c>
      <c r="U143" s="6" t="s">
        <v>97</v>
      </c>
      <c r="V143" s="1"/>
    </row>
    <row r="144" spans="20:22" ht="12.75">
      <c r="T144" s="57" t="s">
        <v>83</v>
      </c>
      <c r="U144" s="6" t="s">
        <v>101</v>
      </c>
      <c r="V144" s="1"/>
    </row>
    <row r="145" spans="20:22" ht="12.75">
      <c r="T145" s="57" t="s">
        <v>84</v>
      </c>
      <c r="U145" s="6" t="s">
        <v>102</v>
      </c>
      <c r="V145" s="1"/>
    </row>
    <row r="146" spans="20:22" ht="12.75">
      <c r="T146" s="57" t="s">
        <v>85</v>
      </c>
      <c r="U146" s="6" t="s">
        <v>98</v>
      </c>
      <c r="V146" s="1"/>
    </row>
    <row r="147" spans="20:22" ht="12.75">
      <c r="T147" s="57" t="s">
        <v>86</v>
      </c>
      <c r="U147" s="6" t="s">
        <v>103</v>
      </c>
      <c r="V147" s="1"/>
    </row>
    <row r="148" spans="20:22" ht="12.75">
      <c r="T148" s="57" t="s">
        <v>87</v>
      </c>
      <c r="U148" s="6" t="s">
        <v>111</v>
      </c>
      <c r="V148" s="1"/>
    </row>
    <row r="149" spans="20:22" ht="12.75">
      <c r="T149" s="57" t="s">
        <v>66</v>
      </c>
      <c r="U149" s="6" t="s">
        <v>69</v>
      </c>
      <c r="V149" s="1"/>
    </row>
    <row r="150" spans="20:22" ht="12.75">
      <c r="T150" s="57" t="s">
        <v>67</v>
      </c>
      <c r="U150" s="6" t="s">
        <v>68</v>
      </c>
      <c r="V150" s="1"/>
    </row>
    <row r="151" spans="20:22" ht="12.75">
      <c r="T151" s="57" t="s">
        <v>71</v>
      </c>
      <c r="U151" s="6" t="s">
        <v>72</v>
      </c>
      <c r="V151" s="1"/>
    </row>
    <row r="152" spans="20:22" ht="12.75">
      <c r="T152" s="57" t="s">
        <v>88</v>
      </c>
      <c r="U152" s="6" t="s">
        <v>99</v>
      </c>
      <c r="V152" s="1"/>
    </row>
    <row r="153" spans="20:22" ht="12.75">
      <c r="T153" s="57" t="s">
        <v>89</v>
      </c>
      <c r="U153" s="6" t="s">
        <v>104</v>
      </c>
      <c r="V153" s="1"/>
    </row>
    <row r="154" spans="20:22" ht="12.75">
      <c r="T154" s="57" t="s">
        <v>90</v>
      </c>
      <c r="U154" s="6" t="s">
        <v>112</v>
      </c>
      <c r="V154" s="1"/>
    </row>
    <row r="155" spans="20:22" ht="12.75">
      <c r="T155" s="57" t="s">
        <v>73</v>
      </c>
      <c r="U155" s="6" t="s">
        <v>74</v>
      </c>
      <c r="V155" s="1"/>
    </row>
    <row r="156" spans="20:22" ht="12.75">
      <c r="T156" s="57" t="s">
        <v>75</v>
      </c>
      <c r="U156" s="6" t="s">
        <v>76</v>
      </c>
      <c r="V156" s="1"/>
    </row>
    <row r="157" spans="20:22" ht="12.75">
      <c r="T157" s="57" t="s">
        <v>77</v>
      </c>
      <c r="U157" s="6" t="s">
        <v>78</v>
      </c>
      <c r="V157" s="1"/>
    </row>
    <row r="158" spans="20:22" ht="12.75">
      <c r="T158" s="57" t="s">
        <v>91</v>
      </c>
      <c r="U158" s="6" t="s">
        <v>100</v>
      </c>
      <c r="V158" s="1"/>
    </row>
    <row r="159" spans="20:22" ht="12.75">
      <c r="T159" s="57" t="s">
        <v>92</v>
      </c>
      <c r="U159" s="6" t="s">
        <v>105</v>
      </c>
      <c r="V159" s="1"/>
    </row>
    <row r="160" spans="20:22" ht="12.75">
      <c r="T160" s="57" t="s">
        <v>93</v>
      </c>
      <c r="U160" s="6" t="s">
        <v>113</v>
      </c>
      <c r="V160" s="1"/>
    </row>
    <row r="161" spans="20:22" ht="12.75">
      <c r="T161" s="57" t="s">
        <v>61</v>
      </c>
      <c r="U161" s="6" t="s">
        <v>62</v>
      </c>
      <c r="V161" s="1"/>
    </row>
    <row r="162" spans="20:22" ht="12.75">
      <c r="T162" s="57" t="s">
        <v>63</v>
      </c>
      <c r="U162" s="6" t="s">
        <v>64</v>
      </c>
      <c r="V162" s="1"/>
    </row>
    <row r="163" spans="20:22" ht="12.75">
      <c r="T163" s="57" t="s">
        <v>65</v>
      </c>
      <c r="U163" s="6" t="s">
        <v>70</v>
      </c>
      <c r="V163" s="1"/>
    </row>
    <row r="164" ht="12.75">
      <c r="V164" s="1"/>
    </row>
    <row r="165" ht="12.75">
      <c r="V165" s="1"/>
    </row>
    <row r="166" ht="12.75">
      <c r="V166" s="1"/>
    </row>
    <row r="167" ht="12.75">
      <c r="V167" s="1"/>
    </row>
    <row r="168" ht="12.75">
      <c r="V168" s="1"/>
    </row>
    <row r="169" ht="12.75">
      <c r="V169" s="1"/>
    </row>
    <row r="170" ht="12.75">
      <c r="V170" s="1"/>
    </row>
    <row r="171" ht="12.75">
      <c r="V171" s="1"/>
    </row>
    <row r="172" ht="12.75" customHeight="1">
      <c r="V172" s="1"/>
    </row>
    <row r="173" ht="12.75">
      <c r="V173" s="1"/>
    </row>
    <row r="174" ht="12.75">
      <c r="V174" s="1"/>
    </row>
    <row r="175" ht="12.75">
      <c r="V175" s="1"/>
    </row>
    <row r="176" ht="12.75">
      <c r="V176" s="1"/>
    </row>
    <row r="177" ht="12.75">
      <c r="V177" s="1"/>
    </row>
    <row r="178" ht="12.75">
      <c r="V178" s="1"/>
    </row>
    <row r="179" ht="12.75">
      <c r="V179" s="1"/>
    </row>
    <row r="180" ht="12.75">
      <c r="V180" s="1"/>
    </row>
    <row r="181" ht="12.75">
      <c r="V181" s="1"/>
    </row>
    <row r="182" ht="12.75">
      <c r="V182" s="1"/>
    </row>
    <row r="183" ht="12.75">
      <c r="V183" s="1"/>
    </row>
    <row r="184" ht="12.75">
      <c r="V184" s="1"/>
    </row>
    <row r="185" ht="12.75">
      <c r="V185" s="1"/>
    </row>
    <row r="186" ht="12.75">
      <c r="V186" s="1"/>
    </row>
    <row r="187" ht="12.75">
      <c r="V187" s="1"/>
    </row>
    <row r="188" ht="12.75">
      <c r="V188" s="1"/>
    </row>
    <row r="189" ht="12.75">
      <c r="V189" s="1"/>
    </row>
    <row r="190" ht="12.75">
      <c r="V190" s="1"/>
    </row>
    <row r="191" ht="12.75">
      <c r="V191" s="1"/>
    </row>
    <row r="192" ht="12.75">
      <c r="V192" s="1"/>
    </row>
    <row r="193" ht="12.75">
      <c r="V193" s="1"/>
    </row>
    <row r="194" ht="12.75">
      <c r="V194" s="1"/>
    </row>
    <row r="195" ht="12.75">
      <c r="V195" s="1"/>
    </row>
    <row r="196" ht="12.75">
      <c r="V196" s="1"/>
    </row>
    <row r="197" ht="12.75">
      <c r="V197" s="1"/>
    </row>
    <row r="198" ht="12.75">
      <c r="V198" s="1"/>
    </row>
  </sheetData>
  <sheetProtection/>
  <mergeCells count="10">
    <mergeCell ref="K7:M7"/>
    <mergeCell ref="K2:L2"/>
    <mergeCell ref="Q7:S7"/>
    <mergeCell ref="T126:U126"/>
    <mergeCell ref="V126:W126"/>
    <mergeCell ref="W2:W7"/>
    <mergeCell ref="U2:U7"/>
    <mergeCell ref="N7:P7"/>
    <mergeCell ref="T2:T6"/>
    <mergeCell ref="K3:M3"/>
  </mergeCells>
  <conditionalFormatting sqref="M9:M121">
    <cfRule type="containsBlanks" priority="1147" dxfId="43" stopIfTrue="1">
      <formula>LEN(TRIM(M9))=0</formula>
    </cfRule>
    <cfRule type="cellIs" priority="1157" dxfId="42" operator="equal" stopIfTrue="1">
      <formula>"TBD"</formula>
    </cfRule>
    <cfRule type="cellIs" priority="1250" dxfId="41" operator="lessThanOrEqual" stopIfTrue="1">
      <formula>$M$2</formula>
    </cfRule>
    <cfRule type="cellIs" priority="1251" dxfId="44" operator="greaterThan">
      <formula>$M$2</formula>
    </cfRule>
    <cfRule type="containsBlanks" priority="1252" dxfId="2">
      <formula>LEN(TRIM(M9))=0</formula>
    </cfRule>
  </conditionalFormatting>
  <conditionalFormatting sqref="T128:U163 V128:V136 T9:V121">
    <cfRule type="notContainsBlanks" priority="1249" dxfId="45">
      <formula>LEN(TRIM(T9))&gt;0</formula>
    </cfRule>
  </conditionalFormatting>
  <conditionalFormatting sqref="D9:D121">
    <cfRule type="containsText" priority="1125" dxfId="46" operator="containsText" text="Rookie">
      <formula>NOT(ISERROR(SEARCH("Rookie",D9)))</formula>
    </cfRule>
  </conditionalFormatting>
  <conditionalFormatting sqref="N9:N121">
    <cfRule type="top10" priority="632" dxfId="45" stopIfTrue="1" rank="1" bottom="1"/>
    <cfRule type="colorScale" priority="1313" dxfId="2">
      <colorScale>
        <cfvo type="min" val="0"/>
        <cfvo type="percentile" val="50"/>
        <cfvo type="max"/>
        <color rgb="FF5A8AC6"/>
        <color rgb="FFFFEB84"/>
        <color rgb="FFF8696B"/>
      </colorScale>
    </cfRule>
  </conditionalFormatting>
  <conditionalFormatting sqref="P9:P121">
    <cfRule type="top10" priority="105" dxfId="45" stopIfTrue="1" rank="1" bottom="1"/>
    <cfRule type="colorScale" priority="1317" dxfId="2">
      <colorScale>
        <cfvo type="min" val="0"/>
        <cfvo type="percentile" val="50"/>
        <cfvo type="max"/>
        <color rgb="FF5A8AC6"/>
        <color rgb="FFFFEB84"/>
        <color rgb="FFF8696B"/>
      </colorScale>
    </cfRule>
  </conditionalFormatting>
  <conditionalFormatting sqref="Q9:R121">
    <cfRule type="colorScale" priority="97" dxfId="2">
      <colorScale>
        <cfvo type="min" val="0"/>
        <cfvo type="percentile" val="50"/>
        <cfvo type="max"/>
        <color rgb="FF5A8AC6"/>
        <color rgb="FFFFEB84"/>
        <color rgb="FFF8696B"/>
      </colorScale>
    </cfRule>
  </conditionalFormatting>
  <conditionalFormatting sqref="S9:T121">
    <cfRule type="top10" priority="1318" dxfId="45" rank="1" bottom="1"/>
    <cfRule type="colorScale" priority="1319" dxfId="2">
      <colorScale>
        <cfvo type="min" val="0"/>
        <cfvo type="percentile" val="50"/>
        <cfvo type="max"/>
        <color rgb="FF5A8AC6"/>
        <color rgb="FFFFEB84"/>
        <color rgb="FFF8696B"/>
      </colorScale>
    </cfRule>
  </conditionalFormatting>
  <conditionalFormatting sqref="O9:O121">
    <cfRule type="top10" priority="1314" dxfId="45" stopIfTrue="1" rank="1" bottom="1"/>
    <cfRule type="colorScale" priority="1315" dxfId="2">
      <colorScale>
        <cfvo type="min" val="0"/>
        <cfvo type="percentile" val="50"/>
        <cfvo type="max"/>
        <color rgb="FF5A8AC6"/>
        <color rgb="FFFFEB84"/>
        <color rgb="FFF8696B"/>
      </colorScale>
    </cfRule>
  </conditionalFormatting>
  <conditionalFormatting sqref="L9:L121">
    <cfRule type="top10" priority="1310" dxfId="45" rank="1" bottom="1"/>
    <cfRule type="colorScale" priority="1311" dxfId="2">
      <colorScale>
        <cfvo type="min" val="0"/>
        <cfvo type="percentile" val="50"/>
        <cfvo type="max"/>
        <color rgb="FF5A8AC6"/>
        <color rgb="FFFFEB84"/>
        <color rgb="FFF8696B"/>
      </colorScale>
    </cfRule>
  </conditionalFormatting>
  <conditionalFormatting sqref="S73:T73">
    <cfRule type="expression" priority="1327" dxfId="2" stopIfTrue="1">
      <formula>ISBLANK($B73)</formula>
    </cfRule>
  </conditionalFormatting>
  <conditionalFormatting sqref="V9:V121">
    <cfRule type="top10" priority="31" dxfId="45" rank="1" bottom="1"/>
    <cfRule type="colorScale" priority="32" dxfId="2">
      <colorScale>
        <cfvo type="min" val="0"/>
        <cfvo type="percentile" val="50"/>
        <cfvo type="max"/>
        <color rgb="FF5A8AC6"/>
        <color rgb="FFFFEB84"/>
        <color rgb="FFF8696B"/>
      </colorScale>
    </cfRule>
  </conditionalFormatting>
  <conditionalFormatting sqref="V73">
    <cfRule type="expression" priority="30" dxfId="2" stopIfTrue="1">
      <formula>ISBLANK($B73)</formula>
    </cfRule>
  </conditionalFormatting>
  <conditionalFormatting sqref="I9:K121">
    <cfRule type="containsText" priority="2" dxfId="2" operator="containsText" stopIfTrue="1" text="&quot;&quot; &quot;&quot;">
      <formula>NOT(ISERROR(SEARCH(""" """,I9)))</formula>
    </cfRule>
    <cfRule type="colorScale" priority="3" dxfId="2">
      <colorScale>
        <cfvo type="min" val="0"/>
        <cfvo type="percentile" val="50"/>
        <cfvo type="max"/>
        <color rgb="FFF8696B"/>
        <color rgb="FFFFEB84"/>
        <color theme="3"/>
      </colorScale>
    </cfRule>
  </conditionalFormatting>
  <dataValidations count="5">
    <dataValidation errorStyle="information" allowBlank="1" showInputMessage="1" promptTitle="Robot Round Score" prompt="This value is entered on a different sheet. Do not enter data here." errorTitle="Too Big" sqref="F9:H121"/>
    <dataValidation type="whole" allowBlank="1" showErrorMessage="1" promptTitle="Robot Round Score" prompt="Enter the score for each round of the robot game here." errorTitle="Too Big" error="The robot game score needs to be between 0 and 400. Please retry." sqref="F8:H8">
      <formula1>0</formula1>
      <formula2>500</formula2>
    </dataValidation>
    <dataValidation allowBlank="1" showErrorMessage="1" promptTitle="Robot Round Score" prompt="Enter the score for each round of the robot game here." errorTitle="Too Big" error="The robot game score needs to be between 0 and 400. Please retry." sqref="F3:J7 K4:K6"/>
    <dataValidation errorStyle="warning" type="list" allowBlank="1" showInputMessage="1" showErrorMessage="1" promptTitle="Award Code" prompt="Enter a valid award code for this team's award. See the list at the bottom for valid codes." errorTitle="Warning" error="This does not appear to be a valid code. Are you sure you want to enter this value?" sqref="T9:T121">
      <formula1>$T$128:$T$160</formula1>
    </dataValidation>
    <dataValidation errorStyle="warning" type="list" allowBlank="1" showInputMessage="1" showErrorMessage="1" promptTitle="Advancment Code" prompt="Enter a valid advancement code for this team. See the table at the bottom for valid advancment codes." errorTitle="Warning" error="This does not appear to be a valid advancement code. Are you sure you want to use this code?" sqref="V9:V121">
      <formula1>$V$128:$V$136</formula1>
    </dataValidation>
  </dataValidations>
  <printOptions horizontalCentered="1"/>
  <pageMargins left="0.25" right="0.25" top="0.78" bottom="0.58" header="0.5" footer="0.3"/>
  <pageSetup fitToHeight="0" fitToWidth="1" horizontalDpi="600" verticalDpi="600" orientation="landscape" scale="64" r:id="rId3"/>
  <headerFooter scaleWithDoc="0">
    <oddHeader>&amp;L&amp;12FIRST LEGO League Judging Ranking Tool&amp;R&amp;D &amp;T</oddHeader>
    <oddFooter>&amp;L&amp;F&amp;R&amp;P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2:Q119"/>
  <sheetViews>
    <sheetView showGridLines="0" showZeros="0" zoomScalePageLayoutView="0" workbookViewId="0" topLeftCell="A1">
      <pane ySplit="6" topLeftCell="A7" activePane="bottomLeft" state="frozen"/>
      <selection pane="topLeft" activeCell="A1" sqref="A1"/>
      <selection pane="bottomLeft" activeCell="E7" sqref="E7"/>
    </sheetView>
  </sheetViews>
  <sheetFormatPr defaultColWidth="9.140625" defaultRowHeight="12.75"/>
  <cols>
    <col min="1" max="1" width="4.28125" style="1" customWidth="1"/>
    <col min="2" max="2" width="10.8515625" style="1" customWidth="1"/>
    <col min="3" max="3" width="45.7109375" style="1" customWidth="1"/>
    <col min="4" max="4" width="15.00390625" style="1" bestFit="1" customWidth="1"/>
    <col min="5" max="5" width="14.28125" style="1" customWidth="1"/>
    <col min="6" max="7" width="14.7109375" style="1" customWidth="1"/>
    <col min="8" max="8" width="10.140625" style="2" customWidth="1"/>
    <col min="9" max="9" width="9.8515625" style="2" customWidth="1"/>
    <col min="10" max="10" width="10.140625" style="2" customWidth="1"/>
    <col min="11" max="11" width="28.8515625" style="2" hidden="1" customWidth="1"/>
    <col min="12" max="12" width="17.421875" style="2" customWidth="1"/>
    <col min="13" max="13" width="14.7109375" style="2" hidden="1" customWidth="1"/>
    <col min="14" max="14" width="25.00390625" style="53" customWidth="1"/>
    <col min="15" max="15" width="10.8515625" style="1" hidden="1" customWidth="1"/>
    <col min="16" max="16" width="6.00390625" style="21" bestFit="1" customWidth="1"/>
    <col min="17" max="17" width="9.140625" style="21" customWidth="1"/>
    <col min="18" max="16384" width="9.140625" style="1" customWidth="1"/>
  </cols>
  <sheetData>
    <row r="2" spans="3:16" ht="15">
      <c r="C2" s="11"/>
      <c r="D2" s="11"/>
      <c r="E2" s="14"/>
      <c r="F2" s="12"/>
      <c r="G2" s="12"/>
      <c r="H2" s="16"/>
      <c r="I2" s="16"/>
      <c r="J2" s="16"/>
      <c r="K2" s="16"/>
      <c r="L2" s="16"/>
      <c r="M2" s="16"/>
      <c r="N2" s="51"/>
      <c r="P2" s="19"/>
    </row>
    <row r="3" spans="3:16" ht="15">
      <c r="C3" s="11"/>
      <c r="D3" s="11"/>
      <c r="E3" s="14"/>
      <c r="F3" s="12"/>
      <c r="G3" s="12"/>
      <c r="H3" s="16"/>
      <c r="I3" s="16"/>
      <c r="J3" s="16"/>
      <c r="K3" s="16"/>
      <c r="L3" s="16"/>
      <c r="M3" s="16"/>
      <c r="N3" s="51"/>
      <c r="P3" s="19"/>
    </row>
    <row r="4" spans="3:17" ht="25.5" customHeight="1">
      <c r="C4" s="12"/>
      <c r="D4" s="12"/>
      <c r="E4" s="16"/>
      <c r="F4" s="16"/>
      <c r="G4" s="16"/>
      <c r="H4" s="16"/>
      <c r="I4" s="16"/>
      <c r="J4" s="16"/>
      <c r="K4" s="16"/>
      <c r="L4" s="12"/>
      <c r="M4" s="19"/>
      <c r="N4" s="52"/>
      <c r="P4" s="1"/>
      <c r="Q4" s="1"/>
    </row>
    <row r="5" spans="3:17" ht="12.75" customHeight="1">
      <c r="C5" s="12"/>
      <c r="D5" s="96"/>
      <c r="E5" s="97" t="s">
        <v>10</v>
      </c>
      <c r="F5" s="98"/>
      <c r="G5" s="98"/>
      <c r="H5" s="98"/>
      <c r="I5" s="98"/>
      <c r="J5" s="98"/>
      <c r="K5" s="98"/>
      <c r="L5" s="98"/>
      <c r="M5" s="99"/>
      <c r="N5" s="52"/>
      <c r="P5" s="1"/>
      <c r="Q5" s="1"/>
    </row>
    <row r="6" spans="2:17" ht="33.75">
      <c r="B6" s="10" t="s">
        <v>0</v>
      </c>
      <c r="C6" s="13" t="s">
        <v>1</v>
      </c>
      <c r="D6" s="13" t="s">
        <v>485</v>
      </c>
      <c r="E6" s="17" t="s">
        <v>7</v>
      </c>
      <c r="F6" s="17" t="s">
        <v>8</v>
      </c>
      <c r="G6" s="17" t="s">
        <v>9</v>
      </c>
      <c r="H6" s="40" t="s">
        <v>21</v>
      </c>
      <c r="I6" s="40" t="s">
        <v>22</v>
      </c>
      <c r="J6" s="40" t="s">
        <v>4</v>
      </c>
      <c r="K6" s="40" t="s">
        <v>25</v>
      </c>
      <c r="L6" s="41" t="s">
        <v>3</v>
      </c>
      <c r="M6" s="20" t="s">
        <v>11</v>
      </c>
      <c r="N6" s="41" t="s">
        <v>163</v>
      </c>
      <c r="O6" s="10" t="s">
        <v>0</v>
      </c>
      <c r="P6" s="1"/>
      <c r="Q6" s="1"/>
    </row>
    <row r="7" spans="2:17" ht="36" customHeight="1">
      <c r="B7" s="30">
        <f>_xlfn.IFERROR(IF(ISBLANK('Team Information Input'!A2),"",'Team Information Input'!A2),"")</f>
      </c>
      <c r="C7" s="31">
        <f>_xlfn.IFERROR(IF(ISBLANK('Team Information Input'!B2),"",'Team Information Input'!B2),"")</f>
      </c>
      <c r="D7" s="31"/>
      <c r="E7" s="32"/>
      <c r="F7" s="32"/>
      <c r="G7" s="32"/>
      <c r="H7" s="32">
        <f aca="true" t="shared" si="0" ref="H7:H38">_xlfn.IFERROR(IF(COUNTA(E7:G7)&gt;1,MIN(E7:G7),""),"")</f>
      </c>
      <c r="I7" s="32" t="str">
        <f aca="true" t="shared" si="1" ref="I7:I38">_xlfn.IFERROR(IF(COUNTA(E7:G7)&gt;2,MEDIAN(E7:G7)," ")," ")</f>
        <v> </v>
      </c>
      <c r="J7" s="32">
        <f aca="true" t="shared" si="2" ref="J7:J38">_xlfn.IFERROR(IF(SUM(E7:G7)&gt;0,MAX(E7:G7),""),"")</f>
      </c>
      <c r="K7" s="48">
        <f aca="true" t="shared" si="3" ref="K7:K38">_xlfn.IFERROR(H7+I7*10000+J7*100000000,_xlfn.IFERROR(H7*10000+J7*100000000,_xlfn.IFERROR(J7*100000000,"")))</f>
      </c>
      <c r="L7" s="33">
        <f aca="true" t="shared" si="4" ref="L7:L38">_xlfn.IFERROR(IF(ISNUMBER(J7),RANK(K7,K$1:K$65536,0),""),"")</f>
      </c>
      <c r="M7" s="34">
        <f aca="true" t="shared" si="5" ref="M7:M38">_xlfn.IFERROR(IF(ISNUMBER(J7),L7/MAX($L:$L),""),"")</f>
      </c>
      <c r="N7" s="52">
        <f aca="true" t="shared" si="6" ref="N7:N38">IF(L7=1,"1st Place Robot Performance",IF(L7=2,"2nd Place Robot Performance",IF(L7=3,"3rd Place Robot Performance","")))</f>
      </c>
      <c r="O7" s="30">
        <f aca="true" t="shared" si="7" ref="O7:O38">B7</f>
      </c>
      <c r="P7" s="1"/>
      <c r="Q7" s="1"/>
    </row>
    <row r="8" spans="2:17" ht="36" customHeight="1">
      <c r="B8" s="30">
        <f>_xlfn.IFERROR(IF(ISBLANK('Team Information Input'!A3),"",'Team Information Input'!A3),"")</f>
      </c>
      <c r="C8" s="31">
        <f>_xlfn.IFERROR(IF(ISBLANK('Team Information Input'!B3),"",'Team Information Input'!B3),"")</f>
      </c>
      <c r="D8" s="31"/>
      <c r="E8" s="32"/>
      <c r="F8" s="32"/>
      <c r="G8" s="32"/>
      <c r="H8" s="32">
        <f t="shared" si="0"/>
      </c>
      <c r="I8" s="32" t="str">
        <f t="shared" si="1"/>
        <v> </v>
      </c>
      <c r="J8" s="32">
        <f t="shared" si="2"/>
      </c>
      <c r="K8" s="48">
        <f t="shared" si="3"/>
      </c>
      <c r="L8" s="33">
        <f t="shared" si="4"/>
      </c>
      <c r="M8" s="34">
        <f t="shared" si="5"/>
      </c>
      <c r="N8" s="52">
        <f t="shared" si="6"/>
      </c>
      <c r="O8" s="30">
        <f t="shared" si="7"/>
      </c>
      <c r="P8" s="1"/>
      <c r="Q8" s="1"/>
    </row>
    <row r="9" spans="2:17" ht="36" customHeight="1">
      <c r="B9" s="30">
        <f>_xlfn.IFERROR(IF(ISBLANK('Team Information Input'!A4),"",'Team Information Input'!A4),"")</f>
      </c>
      <c r="C9" s="31">
        <f>_xlfn.IFERROR(IF(ISBLANK('Team Information Input'!B4),"",'Team Information Input'!B4),"")</f>
      </c>
      <c r="D9" s="31"/>
      <c r="E9" s="32"/>
      <c r="F9" s="32"/>
      <c r="G9" s="32"/>
      <c r="H9" s="32">
        <f t="shared" si="0"/>
      </c>
      <c r="I9" s="32" t="str">
        <f t="shared" si="1"/>
        <v> </v>
      </c>
      <c r="J9" s="32">
        <f t="shared" si="2"/>
      </c>
      <c r="K9" s="48">
        <f t="shared" si="3"/>
      </c>
      <c r="L9" s="33">
        <f t="shared" si="4"/>
      </c>
      <c r="M9" s="34">
        <f t="shared" si="5"/>
      </c>
      <c r="N9" s="52">
        <f t="shared" si="6"/>
      </c>
      <c r="O9" s="30">
        <f t="shared" si="7"/>
      </c>
      <c r="P9" s="1"/>
      <c r="Q9" s="1"/>
    </row>
    <row r="10" spans="2:17" ht="36" customHeight="1">
      <c r="B10" s="30">
        <f>_xlfn.IFERROR(IF(ISBLANK('Team Information Input'!A5),"",'Team Information Input'!A5),"")</f>
      </c>
      <c r="C10" s="31">
        <f>_xlfn.IFERROR(IF(ISBLANK('Team Information Input'!B5),"",'Team Information Input'!B5),"")</f>
      </c>
      <c r="D10" s="31"/>
      <c r="E10" s="32"/>
      <c r="F10" s="32"/>
      <c r="G10" s="32"/>
      <c r="H10" s="32">
        <f t="shared" si="0"/>
      </c>
      <c r="I10" s="32" t="str">
        <f t="shared" si="1"/>
        <v> </v>
      </c>
      <c r="J10" s="32">
        <f t="shared" si="2"/>
      </c>
      <c r="K10" s="48">
        <f t="shared" si="3"/>
      </c>
      <c r="L10" s="33">
        <f t="shared" si="4"/>
      </c>
      <c r="M10" s="34">
        <f t="shared" si="5"/>
      </c>
      <c r="N10" s="52">
        <f t="shared" si="6"/>
      </c>
      <c r="O10" s="30">
        <f t="shared" si="7"/>
      </c>
      <c r="P10" s="1"/>
      <c r="Q10" s="1"/>
    </row>
    <row r="11" spans="2:17" ht="36" customHeight="1">
      <c r="B11" s="30">
        <f>_xlfn.IFERROR(IF(ISBLANK('Team Information Input'!A6),"",'Team Information Input'!A6),"")</f>
      </c>
      <c r="C11" s="31">
        <f>_xlfn.IFERROR(IF(ISBLANK('Team Information Input'!B6),"",'Team Information Input'!B6),"")</f>
      </c>
      <c r="D11" s="31"/>
      <c r="E11" s="32"/>
      <c r="F11" s="32"/>
      <c r="G11" s="32"/>
      <c r="H11" s="32">
        <f t="shared" si="0"/>
      </c>
      <c r="I11" s="32" t="str">
        <f t="shared" si="1"/>
        <v> </v>
      </c>
      <c r="J11" s="32">
        <f t="shared" si="2"/>
      </c>
      <c r="K11" s="48">
        <f t="shared" si="3"/>
      </c>
      <c r="L11" s="33">
        <f t="shared" si="4"/>
      </c>
      <c r="M11" s="34">
        <f t="shared" si="5"/>
      </c>
      <c r="N11" s="52">
        <f t="shared" si="6"/>
      </c>
      <c r="O11" s="30">
        <f t="shared" si="7"/>
      </c>
      <c r="P11" s="1"/>
      <c r="Q11" s="1"/>
    </row>
    <row r="12" spans="2:17" ht="36" customHeight="1">
      <c r="B12" s="30">
        <f>_xlfn.IFERROR(IF(ISBLANK('Team Information Input'!A7),"",'Team Information Input'!A7),"")</f>
      </c>
      <c r="C12" s="31">
        <f>_xlfn.IFERROR(IF(ISBLANK('Team Information Input'!B7),"",'Team Information Input'!B7),"")</f>
      </c>
      <c r="D12" s="31"/>
      <c r="E12" s="32"/>
      <c r="F12" s="32"/>
      <c r="G12" s="32"/>
      <c r="H12" s="32">
        <f t="shared" si="0"/>
      </c>
      <c r="I12" s="32" t="str">
        <f t="shared" si="1"/>
        <v> </v>
      </c>
      <c r="J12" s="32">
        <f t="shared" si="2"/>
      </c>
      <c r="K12" s="48">
        <f t="shared" si="3"/>
      </c>
      <c r="L12" s="33">
        <f t="shared" si="4"/>
      </c>
      <c r="M12" s="34">
        <f t="shared" si="5"/>
      </c>
      <c r="N12" s="52">
        <f t="shared" si="6"/>
      </c>
      <c r="O12" s="30">
        <f t="shared" si="7"/>
      </c>
      <c r="P12" s="1"/>
      <c r="Q12" s="1"/>
    </row>
    <row r="13" spans="2:17" ht="36" customHeight="1">
      <c r="B13" s="30">
        <f>_xlfn.IFERROR(IF(ISBLANK('Team Information Input'!A8),"",'Team Information Input'!A8),"")</f>
      </c>
      <c r="C13" s="31">
        <f>_xlfn.IFERROR(IF(ISBLANK('Team Information Input'!B8),"",'Team Information Input'!B8),"")</f>
      </c>
      <c r="D13" s="31"/>
      <c r="E13" s="32"/>
      <c r="F13" s="32"/>
      <c r="G13" s="32"/>
      <c r="H13" s="32">
        <f t="shared" si="0"/>
      </c>
      <c r="I13" s="32" t="str">
        <f t="shared" si="1"/>
        <v> </v>
      </c>
      <c r="J13" s="32">
        <f t="shared" si="2"/>
      </c>
      <c r="K13" s="48">
        <f t="shared" si="3"/>
      </c>
      <c r="L13" s="33">
        <f t="shared" si="4"/>
      </c>
      <c r="M13" s="34">
        <f t="shared" si="5"/>
      </c>
      <c r="N13" s="52">
        <f t="shared" si="6"/>
      </c>
      <c r="O13" s="30">
        <f t="shared" si="7"/>
      </c>
      <c r="P13" s="1"/>
      <c r="Q13" s="1"/>
    </row>
    <row r="14" spans="2:17" ht="36" customHeight="1">
      <c r="B14" s="30">
        <f>_xlfn.IFERROR(IF(ISBLANK('Team Information Input'!A9),"",'Team Information Input'!A9),"")</f>
      </c>
      <c r="C14" s="31">
        <f>_xlfn.IFERROR(IF(ISBLANK('Team Information Input'!B9),"",'Team Information Input'!B9),"")</f>
      </c>
      <c r="D14" s="31"/>
      <c r="E14" s="32"/>
      <c r="F14" s="32"/>
      <c r="G14" s="32"/>
      <c r="H14" s="32">
        <f t="shared" si="0"/>
      </c>
      <c r="I14" s="32" t="str">
        <f t="shared" si="1"/>
        <v> </v>
      </c>
      <c r="J14" s="32">
        <f t="shared" si="2"/>
      </c>
      <c r="K14" s="48">
        <f t="shared" si="3"/>
      </c>
      <c r="L14" s="33">
        <f t="shared" si="4"/>
      </c>
      <c r="M14" s="34">
        <f t="shared" si="5"/>
      </c>
      <c r="N14" s="52">
        <f t="shared" si="6"/>
      </c>
      <c r="O14" s="30">
        <f t="shared" si="7"/>
      </c>
      <c r="P14" s="1"/>
      <c r="Q14" s="1"/>
    </row>
    <row r="15" spans="2:17" ht="36" customHeight="1">
      <c r="B15" s="30">
        <f>_xlfn.IFERROR(IF(ISBLANK('Team Information Input'!A10),"",'Team Information Input'!A10),"")</f>
      </c>
      <c r="C15" s="31">
        <f>_xlfn.IFERROR(IF(ISBLANK('Team Information Input'!B10),"",'Team Information Input'!B10),"")</f>
      </c>
      <c r="D15" s="31"/>
      <c r="E15" s="32"/>
      <c r="F15" s="32"/>
      <c r="G15" s="32"/>
      <c r="H15" s="32">
        <f t="shared" si="0"/>
      </c>
      <c r="I15" s="32" t="str">
        <f t="shared" si="1"/>
        <v> </v>
      </c>
      <c r="J15" s="32">
        <f t="shared" si="2"/>
      </c>
      <c r="K15" s="48">
        <f t="shared" si="3"/>
      </c>
      <c r="L15" s="33">
        <f t="shared" si="4"/>
      </c>
      <c r="M15" s="34">
        <f t="shared" si="5"/>
      </c>
      <c r="N15" s="52">
        <f t="shared" si="6"/>
      </c>
      <c r="O15" s="30">
        <f t="shared" si="7"/>
      </c>
      <c r="P15" s="1"/>
      <c r="Q15" s="1"/>
    </row>
    <row r="16" spans="2:17" ht="36" customHeight="1">
      <c r="B16" s="30">
        <f>_xlfn.IFERROR(IF(ISBLANK('Team Information Input'!A11),"",'Team Information Input'!A11),"")</f>
      </c>
      <c r="C16" s="31">
        <f>_xlfn.IFERROR(IF(ISBLANK('Team Information Input'!B11),"",'Team Information Input'!B11),"")</f>
      </c>
      <c r="D16" s="31"/>
      <c r="E16" s="32"/>
      <c r="F16" s="32"/>
      <c r="G16" s="32"/>
      <c r="H16" s="32">
        <f t="shared" si="0"/>
      </c>
      <c r="I16" s="32" t="str">
        <f t="shared" si="1"/>
        <v> </v>
      </c>
      <c r="J16" s="32">
        <f t="shared" si="2"/>
      </c>
      <c r="K16" s="48">
        <f t="shared" si="3"/>
      </c>
      <c r="L16" s="33">
        <f t="shared" si="4"/>
      </c>
      <c r="M16" s="34">
        <f t="shared" si="5"/>
      </c>
      <c r="N16" s="52">
        <f t="shared" si="6"/>
      </c>
      <c r="O16" s="30">
        <f t="shared" si="7"/>
      </c>
      <c r="P16" s="1"/>
      <c r="Q16" s="1"/>
    </row>
    <row r="17" spans="2:17" ht="36" customHeight="1">
      <c r="B17" s="30">
        <f>_xlfn.IFERROR(IF(ISBLANK('Team Information Input'!A12),"",'Team Information Input'!A12),"")</f>
      </c>
      <c r="C17" s="31">
        <f>_xlfn.IFERROR(IF(ISBLANK('Team Information Input'!B12),"",'Team Information Input'!B12),"")</f>
      </c>
      <c r="D17" s="31"/>
      <c r="E17" s="32"/>
      <c r="F17" s="32"/>
      <c r="G17" s="32"/>
      <c r="H17" s="32">
        <f t="shared" si="0"/>
      </c>
      <c r="I17" s="32" t="str">
        <f t="shared" si="1"/>
        <v> </v>
      </c>
      <c r="J17" s="32">
        <f t="shared" si="2"/>
      </c>
      <c r="K17" s="48">
        <f t="shared" si="3"/>
      </c>
      <c r="L17" s="33">
        <f t="shared" si="4"/>
      </c>
      <c r="M17" s="34">
        <f t="shared" si="5"/>
      </c>
      <c r="N17" s="52">
        <f t="shared" si="6"/>
      </c>
      <c r="O17" s="30">
        <f t="shared" si="7"/>
      </c>
      <c r="P17" s="1"/>
      <c r="Q17" s="1"/>
    </row>
    <row r="18" spans="2:17" ht="36" customHeight="1">
      <c r="B18" s="30">
        <f>_xlfn.IFERROR(IF(ISBLANK('Team Information Input'!A13),"",'Team Information Input'!A13),"")</f>
      </c>
      <c r="C18" s="31">
        <f>_xlfn.IFERROR(IF(ISBLANK('Team Information Input'!B13),"",'Team Information Input'!B13),"")</f>
      </c>
      <c r="D18" s="31"/>
      <c r="E18" s="32"/>
      <c r="F18" s="32"/>
      <c r="G18" s="32"/>
      <c r="H18" s="32">
        <f t="shared" si="0"/>
      </c>
      <c r="I18" s="32" t="str">
        <f t="shared" si="1"/>
        <v> </v>
      </c>
      <c r="J18" s="32">
        <f t="shared" si="2"/>
      </c>
      <c r="K18" s="48">
        <f t="shared" si="3"/>
      </c>
      <c r="L18" s="33">
        <f t="shared" si="4"/>
      </c>
      <c r="M18" s="34">
        <f t="shared" si="5"/>
      </c>
      <c r="N18" s="52">
        <f t="shared" si="6"/>
      </c>
      <c r="O18" s="30">
        <f t="shared" si="7"/>
      </c>
      <c r="P18" s="1"/>
      <c r="Q18" s="1"/>
    </row>
    <row r="19" spans="2:17" ht="36" customHeight="1">
      <c r="B19" s="30">
        <f>_xlfn.IFERROR(IF(ISBLANK('Team Information Input'!A14),"",'Team Information Input'!A14),"")</f>
      </c>
      <c r="C19" s="31">
        <f>_xlfn.IFERROR(IF(ISBLANK('Team Information Input'!B14),"",'Team Information Input'!B14),"")</f>
      </c>
      <c r="D19" s="31"/>
      <c r="E19" s="32"/>
      <c r="F19" s="32"/>
      <c r="G19" s="32"/>
      <c r="H19" s="32">
        <f t="shared" si="0"/>
      </c>
      <c r="I19" s="32" t="str">
        <f t="shared" si="1"/>
        <v> </v>
      </c>
      <c r="J19" s="32">
        <f t="shared" si="2"/>
      </c>
      <c r="K19" s="48">
        <f t="shared" si="3"/>
      </c>
      <c r="L19" s="33">
        <f t="shared" si="4"/>
      </c>
      <c r="M19" s="34">
        <f t="shared" si="5"/>
      </c>
      <c r="N19" s="52">
        <f t="shared" si="6"/>
      </c>
      <c r="O19" s="30">
        <f t="shared" si="7"/>
      </c>
      <c r="P19" s="1"/>
      <c r="Q19" s="1"/>
    </row>
    <row r="20" spans="2:17" ht="36" customHeight="1">
      <c r="B20" s="30">
        <f>_xlfn.IFERROR(IF(ISBLANK('Team Information Input'!A15),"",'Team Information Input'!A15),"")</f>
      </c>
      <c r="C20" s="31">
        <f>_xlfn.IFERROR(IF(ISBLANK('Team Information Input'!B15),"",'Team Information Input'!B15),"")</f>
      </c>
      <c r="D20" s="31"/>
      <c r="E20" s="32"/>
      <c r="F20" s="32"/>
      <c r="G20" s="32"/>
      <c r="H20" s="32">
        <f t="shared" si="0"/>
      </c>
      <c r="I20" s="32" t="str">
        <f t="shared" si="1"/>
        <v> </v>
      </c>
      <c r="J20" s="32">
        <f t="shared" si="2"/>
      </c>
      <c r="K20" s="48">
        <f t="shared" si="3"/>
      </c>
      <c r="L20" s="33">
        <f t="shared" si="4"/>
      </c>
      <c r="M20" s="34">
        <f t="shared" si="5"/>
      </c>
      <c r="N20" s="52">
        <f t="shared" si="6"/>
      </c>
      <c r="O20" s="30">
        <f t="shared" si="7"/>
      </c>
      <c r="P20" s="1"/>
      <c r="Q20" s="1"/>
    </row>
    <row r="21" spans="2:17" ht="36" customHeight="1">
      <c r="B21" s="30">
        <f>_xlfn.IFERROR(IF(ISBLANK('Team Information Input'!A16),"",'Team Information Input'!A16),"")</f>
      </c>
      <c r="C21" s="31">
        <f>_xlfn.IFERROR(IF(ISBLANK('Team Information Input'!B16),"",'Team Information Input'!B16),"")</f>
      </c>
      <c r="D21" s="31"/>
      <c r="E21" s="32"/>
      <c r="F21" s="32"/>
      <c r="G21" s="32"/>
      <c r="H21" s="32">
        <f t="shared" si="0"/>
      </c>
      <c r="I21" s="32" t="str">
        <f t="shared" si="1"/>
        <v> </v>
      </c>
      <c r="J21" s="32">
        <f t="shared" si="2"/>
      </c>
      <c r="K21" s="48">
        <f t="shared" si="3"/>
      </c>
      <c r="L21" s="33">
        <f t="shared" si="4"/>
      </c>
      <c r="M21" s="34">
        <f t="shared" si="5"/>
      </c>
      <c r="N21" s="52">
        <f t="shared" si="6"/>
      </c>
      <c r="O21" s="30">
        <f t="shared" si="7"/>
      </c>
      <c r="P21" s="1"/>
      <c r="Q21" s="1"/>
    </row>
    <row r="22" spans="2:17" ht="36" customHeight="1">
      <c r="B22" s="30">
        <f>_xlfn.IFERROR(IF(ISBLANK('Team Information Input'!A17),"",'Team Information Input'!A17),"")</f>
      </c>
      <c r="C22" s="31">
        <f>_xlfn.IFERROR(IF(ISBLANK('Team Information Input'!B17),"",'Team Information Input'!B17),"")</f>
      </c>
      <c r="D22" s="31"/>
      <c r="E22" s="32"/>
      <c r="F22" s="32"/>
      <c r="G22" s="32"/>
      <c r="H22" s="32">
        <f t="shared" si="0"/>
      </c>
      <c r="I22" s="32" t="str">
        <f t="shared" si="1"/>
        <v> </v>
      </c>
      <c r="J22" s="32">
        <f t="shared" si="2"/>
      </c>
      <c r="K22" s="48">
        <f t="shared" si="3"/>
      </c>
      <c r="L22" s="33">
        <f t="shared" si="4"/>
      </c>
      <c r="M22" s="34">
        <f t="shared" si="5"/>
      </c>
      <c r="N22" s="52">
        <f t="shared" si="6"/>
      </c>
      <c r="O22" s="30">
        <f t="shared" si="7"/>
      </c>
      <c r="P22" s="1"/>
      <c r="Q22" s="1"/>
    </row>
    <row r="23" spans="2:17" ht="36" customHeight="1">
      <c r="B23" s="30">
        <f>_xlfn.IFERROR(IF(ISBLANK('Team Information Input'!A18),"",'Team Information Input'!A18),"")</f>
      </c>
      <c r="C23" s="31">
        <f>_xlfn.IFERROR(IF(ISBLANK('Team Information Input'!B18),"",'Team Information Input'!B18),"")</f>
      </c>
      <c r="D23" s="31"/>
      <c r="E23" s="32"/>
      <c r="F23" s="32"/>
      <c r="G23" s="32"/>
      <c r="H23" s="32">
        <f t="shared" si="0"/>
      </c>
      <c r="I23" s="32" t="str">
        <f t="shared" si="1"/>
        <v> </v>
      </c>
      <c r="J23" s="32">
        <f t="shared" si="2"/>
      </c>
      <c r="K23" s="48">
        <f t="shared" si="3"/>
      </c>
      <c r="L23" s="33">
        <f t="shared" si="4"/>
      </c>
      <c r="M23" s="34">
        <f t="shared" si="5"/>
      </c>
      <c r="N23" s="52">
        <f t="shared" si="6"/>
      </c>
      <c r="O23" s="30">
        <f t="shared" si="7"/>
      </c>
      <c r="P23" s="1"/>
      <c r="Q23" s="1"/>
    </row>
    <row r="24" spans="2:17" ht="36" customHeight="1">
      <c r="B24" s="30">
        <f>_xlfn.IFERROR(IF(ISBLANK('Team Information Input'!A19),"",'Team Information Input'!A19),"")</f>
      </c>
      <c r="C24" s="31">
        <f>_xlfn.IFERROR(IF(ISBLANK('Team Information Input'!B19),"",'Team Information Input'!B19),"")</f>
      </c>
      <c r="D24" s="31"/>
      <c r="E24" s="32"/>
      <c r="F24" s="32"/>
      <c r="G24" s="32"/>
      <c r="H24" s="32">
        <f t="shared" si="0"/>
      </c>
      <c r="I24" s="32" t="str">
        <f t="shared" si="1"/>
        <v> </v>
      </c>
      <c r="J24" s="32">
        <f t="shared" si="2"/>
      </c>
      <c r="K24" s="48">
        <f t="shared" si="3"/>
      </c>
      <c r="L24" s="33">
        <f t="shared" si="4"/>
      </c>
      <c r="M24" s="34">
        <f t="shared" si="5"/>
      </c>
      <c r="N24" s="52">
        <f t="shared" si="6"/>
      </c>
      <c r="O24" s="30">
        <f t="shared" si="7"/>
      </c>
      <c r="P24" s="1"/>
      <c r="Q24" s="1"/>
    </row>
    <row r="25" spans="2:17" ht="36" customHeight="1">
      <c r="B25" s="30">
        <f>_xlfn.IFERROR(IF(ISBLANK('Team Information Input'!A87),"",'Team Information Input'!A87),"")</f>
      </c>
      <c r="C25" s="31">
        <f>_xlfn.IFERROR(IF(ISBLANK('Team Information Input'!B87),"",'Team Information Input'!B87),"")</f>
      </c>
      <c r="D25" s="31"/>
      <c r="E25" s="32"/>
      <c r="F25" s="32"/>
      <c r="G25" s="32"/>
      <c r="H25" s="32">
        <f t="shared" si="0"/>
      </c>
      <c r="I25" s="32" t="str">
        <f t="shared" si="1"/>
        <v> </v>
      </c>
      <c r="J25" s="32">
        <f t="shared" si="2"/>
      </c>
      <c r="K25" s="48">
        <f t="shared" si="3"/>
      </c>
      <c r="L25" s="33">
        <f t="shared" si="4"/>
      </c>
      <c r="M25" s="34">
        <f t="shared" si="5"/>
      </c>
      <c r="N25" s="52">
        <f t="shared" si="6"/>
      </c>
      <c r="O25" s="30">
        <f t="shared" si="7"/>
      </c>
      <c r="P25" s="1"/>
      <c r="Q25" s="1"/>
    </row>
    <row r="26" spans="2:17" ht="36" customHeight="1">
      <c r="B26" s="30">
        <f>_xlfn.IFERROR(IF(ISBLANK('Team Information Input'!A20),"",'Team Information Input'!A20),"")</f>
      </c>
      <c r="C26" s="31">
        <f>_xlfn.IFERROR(IF(ISBLANK('Team Information Input'!B20),"",'Team Information Input'!B20),"")</f>
      </c>
      <c r="D26" s="31"/>
      <c r="E26" s="32"/>
      <c r="F26" s="32"/>
      <c r="G26" s="32"/>
      <c r="H26" s="32">
        <f t="shared" si="0"/>
      </c>
      <c r="I26" s="32" t="str">
        <f t="shared" si="1"/>
        <v> </v>
      </c>
      <c r="J26" s="32">
        <f t="shared" si="2"/>
      </c>
      <c r="K26" s="48">
        <f t="shared" si="3"/>
      </c>
      <c r="L26" s="33">
        <f t="shared" si="4"/>
      </c>
      <c r="M26" s="34">
        <f t="shared" si="5"/>
      </c>
      <c r="N26" s="52">
        <f t="shared" si="6"/>
      </c>
      <c r="O26" s="30">
        <f t="shared" si="7"/>
      </c>
      <c r="P26" s="1"/>
      <c r="Q26" s="1"/>
    </row>
    <row r="27" spans="2:17" ht="36" customHeight="1">
      <c r="B27" s="30">
        <f>_xlfn.IFERROR(IF(ISBLANK('Team Information Input'!A97),"",'Team Information Input'!A97),"")</f>
      </c>
      <c r="C27" s="31">
        <f>_xlfn.IFERROR(IF(ISBLANK('Team Information Input'!B97),"",'Team Information Input'!B97),"")</f>
      </c>
      <c r="D27" s="31"/>
      <c r="E27" s="32"/>
      <c r="F27" s="32"/>
      <c r="G27" s="32"/>
      <c r="H27" s="32">
        <f t="shared" si="0"/>
      </c>
      <c r="I27" s="32" t="str">
        <f t="shared" si="1"/>
        <v> </v>
      </c>
      <c r="J27" s="32">
        <f t="shared" si="2"/>
      </c>
      <c r="K27" s="48">
        <f t="shared" si="3"/>
      </c>
      <c r="L27" s="33">
        <f t="shared" si="4"/>
      </c>
      <c r="M27" s="34">
        <f t="shared" si="5"/>
      </c>
      <c r="N27" s="52">
        <f t="shared" si="6"/>
      </c>
      <c r="O27" s="30">
        <f t="shared" si="7"/>
      </c>
      <c r="P27" s="1"/>
      <c r="Q27" s="1"/>
    </row>
    <row r="28" spans="2:17" ht="36" customHeight="1">
      <c r="B28" s="30">
        <f>_xlfn.IFERROR(IF(ISBLANK('Team Information Input'!A21),"",'Team Information Input'!A21),"")</f>
      </c>
      <c r="C28" s="31">
        <f>_xlfn.IFERROR(IF(ISBLANK('Team Information Input'!B21),"",'Team Information Input'!B21),"")</f>
      </c>
      <c r="D28" s="31"/>
      <c r="E28" s="32"/>
      <c r="F28" s="32"/>
      <c r="G28" s="32"/>
      <c r="H28" s="32">
        <f t="shared" si="0"/>
      </c>
      <c r="I28" s="32" t="str">
        <f t="shared" si="1"/>
        <v> </v>
      </c>
      <c r="J28" s="32">
        <f t="shared" si="2"/>
      </c>
      <c r="K28" s="48">
        <f t="shared" si="3"/>
      </c>
      <c r="L28" s="33">
        <f t="shared" si="4"/>
      </c>
      <c r="M28" s="34">
        <f t="shared" si="5"/>
      </c>
      <c r="N28" s="52">
        <f t="shared" si="6"/>
      </c>
      <c r="O28" s="30">
        <f t="shared" si="7"/>
      </c>
      <c r="P28" s="1"/>
      <c r="Q28" s="1"/>
    </row>
    <row r="29" spans="2:17" ht="36" customHeight="1">
      <c r="B29" s="30">
        <f>_xlfn.IFERROR(IF(ISBLANK('Team Information Input'!A22),"",'Team Information Input'!A22),"")</f>
      </c>
      <c r="C29" s="31">
        <f>_xlfn.IFERROR(IF(ISBLANK('Team Information Input'!B22),"",'Team Information Input'!B22),"")</f>
      </c>
      <c r="D29" s="31"/>
      <c r="E29" s="32"/>
      <c r="F29" s="32"/>
      <c r="G29" s="32"/>
      <c r="H29" s="32">
        <f t="shared" si="0"/>
      </c>
      <c r="I29" s="32" t="str">
        <f t="shared" si="1"/>
        <v> </v>
      </c>
      <c r="J29" s="32">
        <f t="shared" si="2"/>
      </c>
      <c r="K29" s="48">
        <f t="shared" si="3"/>
      </c>
      <c r="L29" s="33">
        <f t="shared" si="4"/>
      </c>
      <c r="M29" s="34">
        <f t="shared" si="5"/>
      </c>
      <c r="N29" s="52">
        <f t="shared" si="6"/>
      </c>
      <c r="O29" s="30">
        <f t="shared" si="7"/>
      </c>
      <c r="P29" s="1"/>
      <c r="Q29" s="1"/>
    </row>
    <row r="30" spans="2:17" ht="36" customHeight="1">
      <c r="B30" s="30">
        <f>_xlfn.IFERROR(IF(ISBLANK('Team Information Input'!A23),"",'Team Information Input'!A23),"")</f>
      </c>
      <c r="C30" s="31">
        <f>_xlfn.IFERROR(IF(ISBLANK('Team Information Input'!B23),"",'Team Information Input'!B23),"")</f>
      </c>
      <c r="D30" s="31"/>
      <c r="E30" s="32"/>
      <c r="F30" s="32"/>
      <c r="G30" s="32"/>
      <c r="H30" s="32">
        <f t="shared" si="0"/>
      </c>
      <c r="I30" s="32" t="str">
        <f t="shared" si="1"/>
        <v> </v>
      </c>
      <c r="J30" s="32">
        <f t="shared" si="2"/>
      </c>
      <c r="K30" s="48">
        <f t="shared" si="3"/>
      </c>
      <c r="L30" s="33">
        <f t="shared" si="4"/>
      </c>
      <c r="M30" s="34">
        <f t="shared" si="5"/>
      </c>
      <c r="N30" s="52">
        <f t="shared" si="6"/>
      </c>
      <c r="O30" s="30">
        <f t="shared" si="7"/>
      </c>
      <c r="P30" s="1"/>
      <c r="Q30" s="1"/>
    </row>
    <row r="31" spans="2:17" ht="36" customHeight="1">
      <c r="B31" s="30">
        <f>_xlfn.IFERROR(IF(ISBLANK('Team Information Input'!A58),"",'Team Information Input'!A58),"")</f>
      </c>
      <c r="C31" s="31">
        <f>_xlfn.IFERROR(IF(ISBLANK('Team Information Input'!B58),"",'Team Information Input'!B58),"")</f>
      </c>
      <c r="D31" s="31"/>
      <c r="E31" s="32"/>
      <c r="F31" s="32"/>
      <c r="G31" s="32"/>
      <c r="H31" s="32">
        <f t="shared" si="0"/>
      </c>
      <c r="I31" s="32" t="str">
        <f t="shared" si="1"/>
        <v> </v>
      </c>
      <c r="J31" s="32">
        <f t="shared" si="2"/>
      </c>
      <c r="K31" s="48">
        <f t="shared" si="3"/>
      </c>
      <c r="L31" s="33">
        <f t="shared" si="4"/>
      </c>
      <c r="M31" s="34">
        <f t="shared" si="5"/>
      </c>
      <c r="N31" s="52">
        <f t="shared" si="6"/>
      </c>
      <c r="O31" s="30">
        <f t="shared" si="7"/>
      </c>
      <c r="P31" s="1"/>
      <c r="Q31" s="1"/>
    </row>
    <row r="32" spans="2:17" ht="36" customHeight="1">
      <c r="B32" s="30">
        <f>_xlfn.IFERROR(IF(ISBLANK('Team Information Input'!A67),"",'Team Information Input'!A67),"")</f>
      </c>
      <c r="C32" s="31">
        <f>_xlfn.IFERROR(IF(ISBLANK('Team Information Input'!B67),"",'Team Information Input'!B67),"")</f>
      </c>
      <c r="D32" s="31"/>
      <c r="E32" s="32"/>
      <c r="F32" s="32"/>
      <c r="G32" s="32"/>
      <c r="H32" s="32">
        <f t="shared" si="0"/>
      </c>
      <c r="I32" s="32" t="str">
        <f t="shared" si="1"/>
        <v> </v>
      </c>
      <c r="J32" s="32">
        <f t="shared" si="2"/>
      </c>
      <c r="K32" s="48">
        <f t="shared" si="3"/>
      </c>
      <c r="L32" s="33">
        <f t="shared" si="4"/>
      </c>
      <c r="M32" s="34">
        <f t="shared" si="5"/>
      </c>
      <c r="N32" s="52">
        <f t="shared" si="6"/>
      </c>
      <c r="O32" s="30">
        <f t="shared" si="7"/>
      </c>
      <c r="P32" s="1"/>
      <c r="Q32" s="1"/>
    </row>
    <row r="33" spans="2:17" ht="36" customHeight="1">
      <c r="B33" s="30">
        <f>_xlfn.IFERROR(IF(ISBLANK('Team Information Input'!A62),"",'Team Information Input'!A62),"")</f>
      </c>
      <c r="C33" s="31">
        <f>_xlfn.IFERROR(IF(ISBLANK('Team Information Input'!B62),"",'Team Information Input'!B62),"")</f>
      </c>
      <c r="D33" s="31"/>
      <c r="E33" s="32"/>
      <c r="F33" s="32"/>
      <c r="G33" s="32"/>
      <c r="H33" s="32">
        <f t="shared" si="0"/>
      </c>
      <c r="I33" s="32" t="str">
        <f t="shared" si="1"/>
        <v> </v>
      </c>
      <c r="J33" s="32">
        <f t="shared" si="2"/>
      </c>
      <c r="K33" s="48">
        <f t="shared" si="3"/>
      </c>
      <c r="L33" s="33">
        <f t="shared" si="4"/>
      </c>
      <c r="M33" s="34">
        <f t="shared" si="5"/>
      </c>
      <c r="N33" s="52">
        <f t="shared" si="6"/>
      </c>
      <c r="O33" s="30">
        <f t="shared" si="7"/>
      </c>
      <c r="P33" s="1"/>
      <c r="Q33" s="1"/>
    </row>
    <row r="34" spans="2:17" ht="36" customHeight="1">
      <c r="B34" s="30">
        <f>_xlfn.IFERROR(IF(ISBLANK('Team Information Input'!A69),"",'Team Information Input'!A69),"")</f>
      </c>
      <c r="C34" s="31">
        <f>_xlfn.IFERROR(IF(ISBLANK('Team Information Input'!B69),"",'Team Information Input'!B69),"")</f>
      </c>
      <c r="D34" s="31"/>
      <c r="E34" s="32"/>
      <c r="F34" s="32"/>
      <c r="G34" s="32"/>
      <c r="H34" s="32">
        <f t="shared" si="0"/>
      </c>
      <c r="I34" s="32" t="str">
        <f t="shared" si="1"/>
        <v> </v>
      </c>
      <c r="J34" s="32">
        <f t="shared" si="2"/>
      </c>
      <c r="K34" s="48">
        <f t="shared" si="3"/>
      </c>
      <c r="L34" s="33">
        <f t="shared" si="4"/>
      </c>
      <c r="M34" s="34">
        <f t="shared" si="5"/>
      </c>
      <c r="N34" s="52">
        <f t="shared" si="6"/>
      </c>
      <c r="O34" s="30">
        <f t="shared" si="7"/>
      </c>
      <c r="P34" s="1"/>
      <c r="Q34" s="1"/>
    </row>
    <row r="35" spans="2:17" ht="36" customHeight="1">
      <c r="B35" s="30">
        <f>_xlfn.IFERROR(IF(ISBLANK('Team Information Input'!A24),"",'Team Information Input'!A24),"")</f>
      </c>
      <c r="C35" s="31">
        <f>_xlfn.IFERROR(IF(ISBLANK('Team Information Input'!B24),"",'Team Information Input'!B24),"")</f>
      </c>
      <c r="D35" s="31"/>
      <c r="E35" s="32"/>
      <c r="F35" s="32"/>
      <c r="G35" s="32"/>
      <c r="H35" s="32">
        <f t="shared" si="0"/>
      </c>
      <c r="I35" s="32" t="str">
        <f t="shared" si="1"/>
        <v> </v>
      </c>
      <c r="J35" s="32">
        <f t="shared" si="2"/>
      </c>
      <c r="K35" s="48">
        <f t="shared" si="3"/>
      </c>
      <c r="L35" s="33">
        <f t="shared" si="4"/>
      </c>
      <c r="M35" s="34">
        <f t="shared" si="5"/>
      </c>
      <c r="N35" s="52">
        <f t="shared" si="6"/>
      </c>
      <c r="O35" s="30">
        <f t="shared" si="7"/>
      </c>
      <c r="P35" s="1"/>
      <c r="Q35" s="1"/>
    </row>
    <row r="36" spans="2:17" ht="36" customHeight="1">
      <c r="B36" s="30">
        <f>_xlfn.IFERROR(IF(ISBLANK('Team Information Input'!A25),"",'Team Information Input'!A25),"")</f>
      </c>
      <c r="C36" s="31">
        <f>_xlfn.IFERROR(IF(ISBLANK('Team Information Input'!B25),"",'Team Information Input'!B25),"")</f>
      </c>
      <c r="D36" s="31"/>
      <c r="E36" s="32"/>
      <c r="F36" s="32"/>
      <c r="G36" s="32"/>
      <c r="H36" s="32">
        <f t="shared" si="0"/>
      </c>
      <c r="I36" s="32" t="str">
        <f t="shared" si="1"/>
        <v> </v>
      </c>
      <c r="J36" s="32">
        <f t="shared" si="2"/>
      </c>
      <c r="K36" s="48">
        <f t="shared" si="3"/>
      </c>
      <c r="L36" s="33">
        <f t="shared" si="4"/>
      </c>
      <c r="M36" s="34">
        <f t="shared" si="5"/>
      </c>
      <c r="N36" s="52">
        <f t="shared" si="6"/>
      </c>
      <c r="O36" s="30">
        <f t="shared" si="7"/>
      </c>
      <c r="P36" s="1"/>
      <c r="Q36" s="1"/>
    </row>
    <row r="37" spans="2:17" ht="36" customHeight="1">
      <c r="B37" s="30">
        <f>_xlfn.IFERROR(IF(ISBLANK('Team Information Input'!A26),"",'Team Information Input'!A26),"")</f>
      </c>
      <c r="C37" s="31">
        <f>_xlfn.IFERROR(IF(ISBLANK('Team Information Input'!B26),"",'Team Information Input'!B26),"")</f>
      </c>
      <c r="D37" s="31"/>
      <c r="E37" s="32"/>
      <c r="F37" s="32"/>
      <c r="G37" s="32"/>
      <c r="H37" s="32">
        <f t="shared" si="0"/>
      </c>
      <c r="I37" s="32" t="str">
        <f t="shared" si="1"/>
        <v> </v>
      </c>
      <c r="J37" s="32">
        <f t="shared" si="2"/>
      </c>
      <c r="K37" s="48">
        <f t="shared" si="3"/>
      </c>
      <c r="L37" s="33">
        <f t="shared" si="4"/>
      </c>
      <c r="M37" s="34">
        <f t="shared" si="5"/>
      </c>
      <c r="N37" s="52">
        <f t="shared" si="6"/>
      </c>
      <c r="O37" s="30">
        <f t="shared" si="7"/>
      </c>
      <c r="P37" s="1"/>
      <c r="Q37" s="1"/>
    </row>
    <row r="38" spans="2:17" ht="36" customHeight="1">
      <c r="B38" s="30">
        <f>_xlfn.IFERROR(IF(ISBLANK('Team Information Input'!A66),"",'Team Information Input'!A66),"")</f>
      </c>
      <c r="C38" s="31">
        <f>_xlfn.IFERROR(IF(ISBLANK('Team Information Input'!B66),"",'Team Information Input'!B66),"")</f>
      </c>
      <c r="D38" s="31"/>
      <c r="E38" s="32"/>
      <c r="F38" s="32"/>
      <c r="G38" s="32"/>
      <c r="H38" s="32">
        <f t="shared" si="0"/>
      </c>
      <c r="I38" s="32" t="str">
        <f t="shared" si="1"/>
        <v> </v>
      </c>
      <c r="J38" s="32">
        <f t="shared" si="2"/>
      </c>
      <c r="K38" s="48">
        <f t="shared" si="3"/>
      </c>
      <c r="L38" s="33">
        <f t="shared" si="4"/>
      </c>
      <c r="M38" s="34">
        <f t="shared" si="5"/>
      </c>
      <c r="N38" s="52">
        <f t="shared" si="6"/>
      </c>
      <c r="O38" s="30">
        <f t="shared" si="7"/>
      </c>
      <c r="P38" s="1"/>
      <c r="Q38" s="1"/>
    </row>
    <row r="39" spans="2:17" ht="36" customHeight="1">
      <c r="B39" s="30">
        <f>_xlfn.IFERROR(IF(ISBLANK('Team Information Input'!A68),"",'Team Information Input'!A68),"")</f>
      </c>
      <c r="C39" s="31">
        <f>_xlfn.IFERROR(IF(ISBLANK('Team Information Input'!B68),"",'Team Information Input'!B68),"")</f>
      </c>
      <c r="D39" s="31"/>
      <c r="E39" s="32"/>
      <c r="F39" s="32"/>
      <c r="G39" s="32"/>
      <c r="H39" s="32">
        <f aca="true" t="shared" si="8" ref="H39:H70">_xlfn.IFERROR(IF(COUNTA(E39:G39)&gt;1,MIN(E39:G39),""),"")</f>
      </c>
      <c r="I39" s="32" t="str">
        <f aca="true" t="shared" si="9" ref="I39:I63">_xlfn.IFERROR(IF(COUNTA(E39:G39)&gt;2,MEDIAN(E39:G39)," ")," ")</f>
        <v> </v>
      </c>
      <c r="J39" s="32">
        <f aca="true" t="shared" si="10" ref="J39:J70">_xlfn.IFERROR(IF(SUM(E39:G39)&gt;0,MAX(E39:G39),""),"")</f>
      </c>
      <c r="K39" s="48">
        <f aca="true" t="shared" si="11" ref="K39:K70">_xlfn.IFERROR(H39+I39*10000+J39*100000000,_xlfn.IFERROR(H39*10000+J39*100000000,_xlfn.IFERROR(J39*100000000,"")))</f>
      </c>
      <c r="L39" s="33">
        <f aca="true" t="shared" si="12" ref="L39:L70">_xlfn.IFERROR(IF(ISNUMBER(J39),RANK(K39,K$1:K$65536,0),""),"")</f>
      </c>
      <c r="M39" s="34">
        <f aca="true" t="shared" si="13" ref="M39:M70">_xlfn.IFERROR(IF(ISNUMBER(J39),L39/MAX($L:$L),""),"")</f>
      </c>
      <c r="N39" s="52">
        <f aca="true" t="shared" si="14" ref="N39:N70">IF(L39=1,"1st Place Robot Performance",IF(L39=2,"2nd Place Robot Performance",IF(L39=3,"3rd Place Robot Performance","")))</f>
      </c>
      <c r="O39" s="30">
        <f aca="true" t="shared" si="15" ref="O39:O70">B39</f>
      </c>
      <c r="P39" s="1"/>
      <c r="Q39" s="1"/>
    </row>
    <row r="40" spans="2:17" ht="36" customHeight="1">
      <c r="B40" s="30">
        <f>_xlfn.IFERROR(IF(ISBLANK('Team Information Input'!A27),"",'Team Information Input'!A27),"")</f>
      </c>
      <c r="C40" s="31">
        <f>_xlfn.IFERROR(IF(ISBLANK('Team Information Input'!B27),"",'Team Information Input'!B27),"")</f>
      </c>
      <c r="D40" s="31"/>
      <c r="E40" s="32"/>
      <c r="F40" s="32"/>
      <c r="G40" s="32"/>
      <c r="H40" s="32">
        <f t="shared" si="8"/>
      </c>
      <c r="I40" s="32" t="str">
        <f t="shared" si="9"/>
        <v> </v>
      </c>
      <c r="J40" s="32">
        <f t="shared" si="10"/>
      </c>
      <c r="K40" s="48">
        <f t="shared" si="11"/>
      </c>
      <c r="L40" s="33">
        <f t="shared" si="12"/>
      </c>
      <c r="M40" s="34">
        <f t="shared" si="13"/>
      </c>
      <c r="N40" s="52">
        <f t="shared" si="14"/>
      </c>
      <c r="O40" s="30">
        <f t="shared" si="15"/>
      </c>
      <c r="P40" s="1"/>
      <c r="Q40" s="1"/>
    </row>
    <row r="41" spans="2:17" ht="36" customHeight="1">
      <c r="B41" s="30">
        <f>_xlfn.IFERROR(IF(ISBLANK('Team Information Input'!A28),"",'Team Information Input'!A28),"")</f>
      </c>
      <c r="C41" s="31">
        <f>_xlfn.IFERROR(IF(ISBLANK('Team Information Input'!B28),"",'Team Information Input'!B28),"")</f>
      </c>
      <c r="D41" s="31"/>
      <c r="E41" s="32"/>
      <c r="F41" s="32"/>
      <c r="G41" s="32"/>
      <c r="H41" s="32">
        <f t="shared" si="8"/>
      </c>
      <c r="I41" s="32" t="str">
        <f t="shared" si="9"/>
        <v> </v>
      </c>
      <c r="J41" s="32">
        <f t="shared" si="10"/>
      </c>
      <c r="K41" s="48">
        <f t="shared" si="11"/>
      </c>
      <c r="L41" s="33">
        <f t="shared" si="12"/>
      </c>
      <c r="M41" s="34">
        <f t="shared" si="13"/>
      </c>
      <c r="N41" s="52">
        <f t="shared" si="14"/>
      </c>
      <c r="O41" s="30">
        <f t="shared" si="15"/>
      </c>
      <c r="P41" s="1"/>
      <c r="Q41" s="1"/>
    </row>
    <row r="42" spans="2:17" ht="36" customHeight="1">
      <c r="B42" s="30">
        <f>_xlfn.IFERROR(IF(ISBLANK('Team Information Input'!A98),"",'Team Information Input'!A98),"")</f>
      </c>
      <c r="C42" s="31">
        <f>_xlfn.IFERROR(IF(ISBLANK('Team Information Input'!B98),"",'Team Information Input'!B98),"")</f>
      </c>
      <c r="D42" s="31"/>
      <c r="E42" s="32"/>
      <c r="F42" s="32"/>
      <c r="G42" s="32"/>
      <c r="H42" s="32">
        <f t="shared" si="8"/>
      </c>
      <c r="I42" s="32" t="str">
        <f t="shared" si="9"/>
        <v> </v>
      </c>
      <c r="J42" s="32">
        <f t="shared" si="10"/>
      </c>
      <c r="K42" s="48">
        <f t="shared" si="11"/>
      </c>
      <c r="L42" s="33">
        <f t="shared" si="12"/>
      </c>
      <c r="M42" s="34">
        <f t="shared" si="13"/>
      </c>
      <c r="N42" s="52">
        <f t="shared" si="14"/>
      </c>
      <c r="O42" s="30">
        <f t="shared" si="15"/>
      </c>
      <c r="P42" s="1"/>
      <c r="Q42" s="1"/>
    </row>
    <row r="43" spans="2:17" ht="36" customHeight="1">
      <c r="B43" s="30">
        <f>_xlfn.IFERROR(IF(ISBLANK('Team Information Input'!A59),"",'Team Information Input'!A59),"")</f>
      </c>
      <c r="C43" s="31">
        <f>_xlfn.IFERROR(IF(ISBLANK('Team Information Input'!B59),"",'Team Information Input'!B59),"")</f>
      </c>
      <c r="D43" s="31"/>
      <c r="E43" s="32"/>
      <c r="F43" s="32"/>
      <c r="G43" s="32"/>
      <c r="H43" s="32">
        <f t="shared" si="8"/>
      </c>
      <c r="I43" s="32" t="str">
        <f t="shared" si="9"/>
        <v> </v>
      </c>
      <c r="J43" s="32">
        <f t="shared" si="10"/>
      </c>
      <c r="K43" s="48">
        <f t="shared" si="11"/>
      </c>
      <c r="L43" s="33">
        <f t="shared" si="12"/>
      </c>
      <c r="M43" s="34">
        <f t="shared" si="13"/>
      </c>
      <c r="N43" s="52">
        <f t="shared" si="14"/>
      </c>
      <c r="O43" s="30">
        <f t="shared" si="15"/>
      </c>
      <c r="P43" s="1"/>
      <c r="Q43" s="1"/>
    </row>
    <row r="44" spans="2:17" ht="36" customHeight="1">
      <c r="B44" s="30">
        <f>_xlfn.IFERROR(IF(ISBLANK('Team Information Input'!A96),"",'Team Information Input'!A96),"")</f>
      </c>
      <c r="C44" s="31">
        <f>_xlfn.IFERROR(IF(ISBLANK('Team Information Input'!B96),"",'Team Information Input'!B96),"")</f>
      </c>
      <c r="D44" s="31"/>
      <c r="E44" s="32"/>
      <c r="F44" s="32"/>
      <c r="G44" s="32"/>
      <c r="H44" s="32">
        <f t="shared" si="8"/>
      </c>
      <c r="I44" s="32" t="str">
        <f t="shared" si="9"/>
        <v> </v>
      </c>
      <c r="J44" s="32">
        <f t="shared" si="10"/>
      </c>
      <c r="K44" s="48">
        <f t="shared" si="11"/>
      </c>
      <c r="L44" s="33">
        <f t="shared" si="12"/>
      </c>
      <c r="M44" s="34">
        <f t="shared" si="13"/>
      </c>
      <c r="N44" s="52">
        <f t="shared" si="14"/>
      </c>
      <c r="O44" s="30">
        <f t="shared" si="15"/>
      </c>
      <c r="P44" s="1"/>
      <c r="Q44" s="1"/>
    </row>
    <row r="45" spans="2:17" ht="36" customHeight="1">
      <c r="B45" s="30">
        <f>_xlfn.IFERROR(IF(ISBLANK('Team Information Input'!A29),"",'Team Information Input'!A29),"")</f>
      </c>
      <c r="C45" s="31">
        <f>_xlfn.IFERROR(IF(ISBLANK('Team Information Input'!B29),"",'Team Information Input'!B29),"")</f>
      </c>
      <c r="D45" s="31"/>
      <c r="E45" s="32"/>
      <c r="F45" s="32"/>
      <c r="G45" s="32"/>
      <c r="H45" s="32">
        <f t="shared" si="8"/>
      </c>
      <c r="I45" s="32" t="str">
        <f t="shared" si="9"/>
        <v> </v>
      </c>
      <c r="J45" s="32">
        <f t="shared" si="10"/>
      </c>
      <c r="K45" s="48">
        <f t="shared" si="11"/>
      </c>
      <c r="L45" s="33">
        <f t="shared" si="12"/>
      </c>
      <c r="M45" s="34">
        <f t="shared" si="13"/>
      </c>
      <c r="N45" s="52">
        <f t="shared" si="14"/>
      </c>
      <c r="O45" s="30">
        <f t="shared" si="15"/>
      </c>
      <c r="P45" s="1"/>
      <c r="Q45" s="1"/>
    </row>
    <row r="46" spans="2:17" ht="36" customHeight="1">
      <c r="B46" s="30">
        <f>_xlfn.IFERROR(IF(ISBLANK('Team Information Input'!A30),"",'Team Information Input'!A30),"")</f>
      </c>
      <c r="C46" s="31">
        <f>_xlfn.IFERROR(IF(ISBLANK('Team Information Input'!B30),"",'Team Information Input'!B30),"")</f>
      </c>
      <c r="D46" s="31"/>
      <c r="E46" s="32"/>
      <c r="F46" s="32"/>
      <c r="G46" s="32"/>
      <c r="H46" s="32">
        <f t="shared" si="8"/>
      </c>
      <c r="I46" s="32" t="str">
        <f t="shared" si="9"/>
        <v> </v>
      </c>
      <c r="J46" s="32">
        <f t="shared" si="10"/>
      </c>
      <c r="K46" s="48">
        <f t="shared" si="11"/>
      </c>
      <c r="L46" s="33">
        <f t="shared" si="12"/>
      </c>
      <c r="M46" s="34">
        <f t="shared" si="13"/>
      </c>
      <c r="N46" s="52">
        <f t="shared" si="14"/>
      </c>
      <c r="O46" s="30">
        <f t="shared" si="15"/>
      </c>
      <c r="P46" s="1"/>
      <c r="Q46" s="1"/>
    </row>
    <row r="47" spans="2:17" ht="36" customHeight="1">
      <c r="B47" s="30">
        <f>_xlfn.IFERROR(IF(ISBLANK('Team Information Input'!A63),"",'Team Information Input'!A63),"")</f>
      </c>
      <c r="C47" s="31">
        <f>_xlfn.IFERROR(IF(ISBLANK('Team Information Input'!B63),"",'Team Information Input'!B63),"")</f>
      </c>
      <c r="D47" s="31"/>
      <c r="E47" s="32"/>
      <c r="F47" s="32"/>
      <c r="G47" s="32"/>
      <c r="H47" s="32">
        <f t="shared" si="8"/>
      </c>
      <c r="I47" s="32" t="str">
        <f t="shared" si="9"/>
        <v> </v>
      </c>
      <c r="J47" s="32">
        <f t="shared" si="10"/>
      </c>
      <c r="K47" s="48">
        <f t="shared" si="11"/>
      </c>
      <c r="L47" s="33">
        <f t="shared" si="12"/>
      </c>
      <c r="M47" s="34">
        <f t="shared" si="13"/>
      </c>
      <c r="N47" s="52">
        <f t="shared" si="14"/>
      </c>
      <c r="O47" s="30">
        <f t="shared" si="15"/>
      </c>
      <c r="P47" s="1"/>
      <c r="Q47" s="1"/>
    </row>
    <row r="48" spans="2:17" ht="36" customHeight="1">
      <c r="B48" s="30">
        <f>_xlfn.IFERROR(IF(ISBLANK('Team Information Input'!A31),"",'Team Information Input'!A31),"")</f>
      </c>
      <c r="C48" s="31">
        <f>_xlfn.IFERROR(IF(ISBLANK('Team Information Input'!B31),"",'Team Information Input'!B31),"")</f>
      </c>
      <c r="D48" s="31"/>
      <c r="E48" s="32"/>
      <c r="F48" s="32"/>
      <c r="G48" s="32"/>
      <c r="H48" s="32">
        <f t="shared" si="8"/>
      </c>
      <c r="I48" s="32" t="str">
        <f t="shared" si="9"/>
        <v> </v>
      </c>
      <c r="J48" s="32">
        <f t="shared" si="10"/>
      </c>
      <c r="K48" s="48">
        <f t="shared" si="11"/>
      </c>
      <c r="L48" s="33">
        <f t="shared" si="12"/>
      </c>
      <c r="M48" s="34">
        <f t="shared" si="13"/>
      </c>
      <c r="N48" s="52">
        <f t="shared" si="14"/>
      </c>
      <c r="O48" s="30">
        <f t="shared" si="15"/>
      </c>
      <c r="P48" s="1"/>
      <c r="Q48" s="1"/>
    </row>
    <row r="49" spans="2:17" ht="36" customHeight="1">
      <c r="B49" s="30">
        <f>_xlfn.IFERROR(IF(ISBLANK('Team Information Input'!A32),"",'Team Information Input'!A32),"")</f>
      </c>
      <c r="C49" s="31">
        <f>_xlfn.IFERROR(IF(ISBLANK('Team Information Input'!B32),"",'Team Information Input'!B32),"")</f>
      </c>
      <c r="D49" s="31"/>
      <c r="E49" s="32"/>
      <c r="F49" s="32"/>
      <c r="G49" s="32"/>
      <c r="H49" s="32">
        <f t="shared" si="8"/>
      </c>
      <c r="I49" s="32" t="str">
        <f t="shared" si="9"/>
        <v> </v>
      </c>
      <c r="J49" s="32">
        <f t="shared" si="10"/>
      </c>
      <c r="K49" s="48">
        <f t="shared" si="11"/>
      </c>
      <c r="L49" s="33">
        <f t="shared" si="12"/>
      </c>
      <c r="M49" s="34">
        <f t="shared" si="13"/>
      </c>
      <c r="N49" s="52">
        <f t="shared" si="14"/>
      </c>
      <c r="O49" s="30">
        <f t="shared" si="15"/>
      </c>
      <c r="P49" s="1"/>
      <c r="Q49" s="1"/>
    </row>
    <row r="50" spans="2:17" ht="36" customHeight="1">
      <c r="B50" s="30">
        <f>_xlfn.IFERROR(IF(ISBLANK('Team Information Input'!A33),"",'Team Information Input'!A33),"")</f>
      </c>
      <c r="C50" s="31">
        <f>_xlfn.IFERROR(IF(ISBLANK('Team Information Input'!B33),"",'Team Information Input'!B33),"")</f>
      </c>
      <c r="D50" s="31"/>
      <c r="E50" s="32"/>
      <c r="F50" s="32"/>
      <c r="G50" s="32"/>
      <c r="H50" s="32">
        <f t="shared" si="8"/>
      </c>
      <c r="I50" s="32" t="str">
        <f t="shared" si="9"/>
        <v> </v>
      </c>
      <c r="J50" s="32">
        <f t="shared" si="10"/>
      </c>
      <c r="K50" s="48">
        <f t="shared" si="11"/>
      </c>
      <c r="L50" s="33">
        <f t="shared" si="12"/>
      </c>
      <c r="M50" s="34">
        <f t="shared" si="13"/>
      </c>
      <c r="N50" s="52">
        <f t="shared" si="14"/>
      </c>
      <c r="O50" s="30">
        <f t="shared" si="15"/>
      </c>
      <c r="P50" s="1"/>
      <c r="Q50" s="1"/>
    </row>
    <row r="51" spans="2:17" ht="36" customHeight="1">
      <c r="B51" s="30">
        <f>_xlfn.IFERROR(IF(ISBLANK('Team Information Input'!A34),"",'Team Information Input'!A34),"")</f>
      </c>
      <c r="C51" s="31">
        <f>_xlfn.IFERROR(IF(ISBLANK('Team Information Input'!B34),"",'Team Information Input'!B34),"")</f>
      </c>
      <c r="D51" s="31"/>
      <c r="E51" s="32"/>
      <c r="F51" s="32"/>
      <c r="G51" s="32"/>
      <c r="H51" s="32">
        <f t="shared" si="8"/>
      </c>
      <c r="I51" s="32" t="str">
        <f t="shared" si="9"/>
        <v> </v>
      </c>
      <c r="J51" s="32">
        <f t="shared" si="10"/>
      </c>
      <c r="K51" s="48">
        <f t="shared" si="11"/>
      </c>
      <c r="L51" s="33">
        <f t="shared" si="12"/>
      </c>
      <c r="M51" s="34">
        <f t="shared" si="13"/>
      </c>
      <c r="N51" s="52">
        <f t="shared" si="14"/>
      </c>
      <c r="O51" s="30">
        <f t="shared" si="15"/>
      </c>
      <c r="P51" s="1"/>
      <c r="Q51" s="1"/>
    </row>
    <row r="52" spans="2:17" ht="36" customHeight="1">
      <c r="B52" s="30">
        <f>_xlfn.IFERROR(IF(ISBLANK('Team Information Input'!A35),"",'Team Information Input'!A35),"")</f>
      </c>
      <c r="C52" s="31">
        <f>_xlfn.IFERROR(IF(ISBLANK('Team Information Input'!B35),"",'Team Information Input'!B35),"")</f>
      </c>
      <c r="D52" s="31"/>
      <c r="E52" s="32"/>
      <c r="F52" s="32"/>
      <c r="G52" s="32"/>
      <c r="H52" s="32">
        <f t="shared" si="8"/>
      </c>
      <c r="I52" s="32" t="str">
        <f t="shared" si="9"/>
        <v> </v>
      </c>
      <c r="J52" s="32">
        <f t="shared" si="10"/>
      </c>
      <c r="K52" s="48">
        <f t="shared" si="11"/>
      </c>
      <c r="L52" s="33">
        <f t="shared" si="12"/>
      </c>
      <c r="M52" s="34">
        <f t="shared" si="13"/>
      </c>
      <c r="N52" s="52">
        <f t="shared" si="14"/>
      </c>
      <c r="O52" s="30">
        <f t="shared" si="15"/>
      </c>
      <c r="P52" s="1"/>
      <c r="Q52" s="1"/>
    </row>
    <row r="53" spans="2:17" ht="36" customHeight="1">
      <c r="B53" s="30">
        <f>_xlfn.IFERROR(IF(ISBLANK('Team Information Input'!A36),"",'Team Information Input'!A36),"")</f>
      </c>
      <c r="C53" s="31">
        <f>_xlfn.IFERROR(IF(ISBLANK('Team Information Input'!B36),"",'Team Information Input'!B36),"")</f>
      </c>
      <c r="D53" s="31"/>
      <c r="E53" s="32"/>
      <c r="F53" s="32"/>
      <c r="G53" s="32"/>
      <c r="H53" s="32">
        <f t="shared" si="8"/>
      </c>
      <c r="I53" s="32" t="str">
        <f t="shared" si="9"/>
        <v> </v>
      </c>
      <c r="J53" s="32">
        <f t="shared" si="10"/>
      </c>
      <c r="K53" s="48">
        <f t="shared" si="11"/>
      </c>
      <c r="L53" s="33">
        <f t="shared" si="12"/>
      </c>
      <c r="M53" s="34">
        <f t="shared" si="13"/>
      </c>
      <c r="N53" s="52">
        <f t="shared" si="14"/>
      </c>
      <c r="O53" s="30">
        <f t="shared" si="15"/>
      </c>
      <c r="P53" s="1"/>
      <c r="Q53" s="1"/>
    </row>
    <row r="54" spans="2:17" ht="36" customHeight="1">
      <c r="B54" s="30">
        <f>_xlfn.IFERROR(IF(ISBLANK('Team Information Input'!A49),"",'Team Information Input'!A49),"")</f>
      </c>
      <c r="C54" s="31">
        <f>_xlfn.IFERROR(IF(ISBLANK('Team Information Input'!B49),"",'Team Information Input'!B49),"")</f>
      </c>
      <c r="D54" s="31"/>
      <c r="E54" s="32"/>
      <c r="F54" s="32"/>
      <c r="G54" s="32"/>
      <c r="H54" s="32">
        <f t="shared" si="8"/>
      </c>
      <c r="I54" s="32" t="str">
        <f t="shared" si="9"/>
        <v> </v>
      </c>
      <c r="J54" s="32">
        <f t="shared" si="10"/>
      </c>
      <c r="K54" s="48">
        <f t="shared" si="11"/>
      </c>
      <c r="L54" s="33">
        <f t="shared" si="12"/>
      </c>
      <c r="M54" s="34">
        <f t="shared" si="13"/>
      </c>
      <c r="N54" s="52">
        <f t="shared" si="14"/>
      </c>
      <c r="O54" s="30">
        <f t="shared" si="15"/>
      </c>
      <c r="P54" s="1"/>
      <c r="Q54" s="1"/>
    </row>
    <row r="55" spans="2:17" ht="36" customHeight="1">
      <c r="B55" s="30">
        <f>_xlfn.IFERROR(IF(ISBLANK('Team Information Input'!A37),"",'Team Information Input'!A37),"")</f>
      </c>
      <c r="C55" s="31">
        <f>_xlfn.IFERROR(IF(ISBLANK('Team Information Input'!B37),"",'Team Information Input'!B37),"")</f>
      </c>
      <c r="D55" s="31"/>
      <c r="E55" s="32"/>
      <c r="F55" s="32"/>
      <c r="G55" s="32"/>
      <c r="H55" s="32">
        <f t="shared" si="8"/>
      </c>
      <c r="I55" s="32" t="str">
        <f t="shared" si="9"/>
        <v> </v>
      </c>
      <c r="J55" s="32">
        <f t="shared" si="10"/>
      </c>
      <c r="K55" s="48">
        <f t="shared" si="11"/>
      </c>
      <c r="L55" s="33">
        <f t="shared" si="12"/>
      </c>
      <c r="M55" s="34">
        <f t="shared" si="13"/>
      </c>
      <c r="N55" s="52">
        <f t="shared" si="14"/>
      </c>
      <c r="O55" s="30">
        <f t="shared" si="15"/>
      </c>
      <c r="P55" s="1"/>
      <c r="Q55" s="1"/>
    </row>
    <row r="56" spans="2:17" ht="36" customHeight="1">
      <c r="B56" s="30">
        <f>_xlfn.IFERROR(IF(ISBLANK('Team Information Input'!A38),"",'Team Information Input'!A38),"")</f>
      </c>
      <c r="C56" s="31">
        <f>_xlfn.IFERROR(IF(ISBLANK('Team Information Input'!B38),"",'Team Information Input'!B38),"")</f>
      </c>
      <c r="D56" s="31"/>
      <c r="E56" s="32"/>
      <c r="F56" s="32"/>
      <c r="G56" s="32"/>
      <c r="H56" s="32">
        <f t="shared" si="8"/>
      </c>
      <c r="I56" s="32" t="str">
        <f t="shared" si="9"/>
        <v> </v>
      </c>
      <c r="J56" s="32">
        <f t="shared" si="10"/>
      </c>
      <c r="K56" s="48">
        <f t="shared" si="11"/>
      </c>
      <c r="L56" s="33">
        <f t="shared" si="12"/>
      </c>
      <c r="M56" s="34">
        <f t="shared" si="13"/>
      </c>
      <c r="N56" s="52">
        <f t="shared" si="14"/>
      </c>
      <c r="O56" s="30">
        <f t="shared" si="15"/>
      </c>
      <c r="P56" s="1"/>
      <c r="Q56" s="1"/>
    </row>
    <row r="57" spans="2:17" ht="36" customHeight="1">
      <c r="B57" s="30">
        <f>_xlfn.IFERROR(IF(ISBLANK('Team Information Input'!A39),"",'Team Information Input'!A39),"")</f>
      </c>
      <c r="C57" s="31">
        <f>_xlfn.IFERROR(IF(ISBLANK('Team Information Input'!B39),"",'Team Information Input'!B39),"")</f>
      </c>
      <c r="D57" s="31"/>
      <c r="E57" s="32"/>
      <c r="F57" s="32"/>
      <c r="G57" s="32"/>
      <c r="H57" s="32">
        <f t="shared" si="8"/>
      </c>
      <c r="I57" s="32" t="str">
        <f t="shared" si="9"/>
        <v> </v>
      </c>
      <c r="J57" s="32">
        <f t="shared" si="10"/>
      </c>
      <c r="K57" s="48">
        <f t="shared" si="11"/>
      </c>
      <c r="L57" s="33">
        <f t="shared" si="12"/>
      </c>
      <c r="M57" s="34">
        <f t="shared" si="13"/>
      </c>
      <c r="N57" s="52">
        <f t="shared" si="14"/>
      </c>
      <c r="O57" s="30">
        <f t="shared" si="15"/>
      </c>
      <c r="P57" s="1"/>
      <c r="Q57" s="1"/>
    </row>
    <row r="58" spans="2:17" ht="36" customHeight="1">
      <c r="B58" s="30">
        <f>_xlfn.IFERROR(IF(ISBLANK('Team Information Input'!A40),"",'Team Information Input'!A40),"")</f>
      </c>
      <c r="C58" s="31">
        <f>_xlfn.IFERROR(IF(ISBLANK('Team Information Input'!B40),"",'Team Information Input'!B40),"")</f>
      </c>
      <c r="D58" s="31"/>
      <c r="E58" s="32"/>
      <c r="F58" s="32"/>
      <c r="G58" s="32"/>
      <c r="H58" s="32">
        <f t="shared" si="8"/>
      </c>
      <c r="I58" s="32" t="str">
        <f t="shared" si="9"/>
        <v> </v>
      </c>
      <c r="J58" s="32">
        <f t="shared" si="10"/>
      </c>
      <c r="K58" s="48">
        <f t="shared" si="11"/>
      </c>
      <c r="L58" s="33">
        <f t="shared" si="12"/>
      </c>
      <c r="M58" s="34">
        <f t="shared" si="13"/>
      </c>
      <c r="N58" s="52">
        <f t="shared" si="14"/>
      </c>
      <c r="O58" s="30">
        <f t="shared" si="15"/>
      </c>
      <c r="P58" s="1"/>
      <c r="Q58" s="1"/>
    </row>
    <row r="59" spans="2:17" ht="36" customHeight="1">
      <c r="B59" s="30">
        <f>_xlfn.IFERROR(IF(ISBLANK('Team Information Input'!A41),"",'Team Information Input'!A41),"")</f>
      </c>
      <c r="C59" s="31">
        <f>_xlfn.IFERROR(IF(ISBLANK('Team Information Input'!B41),"",'Team Information Input'!B41),"")</f>
      </c>
      <c r="D59" s="31"/>
      <c r="E59" s="32"/>
      <c r="F59" s="32"/>
      <c r="G59" s="32"/>
      <c r="H59" s="32">
        <f t="shared" si="8"/>
      </c>
      <c r="I59" s="32" t="str">
        <f t="shared" si="9"/>
        <v> </v>
      </c>
      <c r="J59" s="32">
        <f t="shared" si="10"/>
      </c>
      <c r="K59" s="48">
        <f t="shared" si="11"/>
      </c>
      <c r="L59" s="33">
        <f t="shared" si="12"/>
      </c>
      <c r="M59" s="34">
        <f t="shared" si="13"/>
      </c>
      <c r="N59" s="52">
        <f t="shared" si="14"/>
      </c>
      <c r="O59" s="30">
        <f t="shared" si="15"/>
      </c>
      <c r="P59" s="1"/>
      <c r="Q59" s="1"/>
    </row>
    <row r="60" spans="2:17" ht="36" customHeight="1">
      <c r="B60" s="30">
        <f>_xlfn.IFERROR(IF(ISBLANK('Team Information Input'!A42),"",'Team Information Input'!A42),"")</f>
      </c>
      <c r="C60" s="31">
        <f>_xlfn.IFERROR(IF(ISBLANK('Team Information Input'!B42),"",'Team Information Input'!B42),"")</f>
      </c>
      <c r="D60" s="31"/>
      <c r="E60" s="32"/>
      <c r="F60" s="32"/>
      <c r="G60" s="32"/>
      <c r="H60" s="32">
        <f t="shared" si="8"/>
      </c>
      <c r="I60" s="32" t="str">
        <f t="shared" si="9"/>
        <v> </v>
      </c>
      <c r="J60" s="32">
        <f t="shared" si="10"/>
      </c>
      <c r="K60" s="48">
        <f t="shared" si="11"/>
      </c>
      <c r="L60" s="33">
        <f t="shared" si="12"/>
      </c>
      <c r="M60" s="34">
        <f t="shared" si="13"/>
      </c>
      <c r="N60" s="52">
        <f t="shared" si="14"/>
      </c>
      <c r="O60" s="30">
        <f t="shared" si="15"/>
      </c>
      <c r="P60" s="1"/>
      <c r="Q60" s="1"/>
    </row>
    <row r="61" spans="2:17" ht="36" customHeight="1">
      <c r="B61" s="30">
        <f>_xlfn.IFERROR(IF(ISBLANK('Team Information Input'!A43),"",'Team Information Input'!A43),"")</f>
      </c>
      <c r="C61" s="31">
        <f>_xlfn.IFERROR(IF(ISBLANK('Team Information Input'!B43),"",'Team Information Input'!B43),"")</f>
      </c>
      <c r="D61" s="31"/>
      <c r="E61" s="32"/>
      <c r="F61" s="32"/>
      <c r="G61" s="32"/>
      <c r="H61" s="32">
        <f t="shared" si="8"/>
      </c>
      <c r="I61" s="32" t="str">
        <f t="shared" si="9"/>
        <v> </v>
      </c>
      <c r="J61" s="32">
        <f t="shared" si="10"/>
      </c>
      <c r="K61" s="48">
        <f t="shared" si="11"/>
      </c>
      <c r="L61" s="33">
        <f t="shared" si="12"/>
      </c>
      <c r="M61" s="34">
        <f t="shared" si="13"/>
      </c>
      <c r="N61" s="52">
        <f t="shared" si="14"/>
      </c>
      <c r="O61" s="30">
        <f t="shared" si="15"/>
      </c>
      <c r="P61" s="1"/>
      <c r="Q61" s="1"/>
    </row>
    <row r="62" spans="2:17" ht="36" customHeight="1">
      <c r="B62" s="30">
        <f>_xlfn.IFERROR(IF(ISBLANK('Team Information Input'!A44),"",'Team Information Input'!A44),"")</f>
      </c>
      <c r="C62" s="31">
        <f>_xlfn.IFERROR(IF(ISBLANK('Team Information Input'!B44),"",'Team Information Input'!B44),"")</f>
      </c>
      <c r="D62" s="31"/>
      <c r="E62" s="32"/>
      <c r="F62" s="32"/>
      <c r="G62" s="32"/>
      <c r="H62" s="32">
        <f t="shared" si="8"/>
      </c>
      <c r="I62" s="32" t="str">
        <f t="shared" si="9"/>
        <v> </v>
      </c>
      <c r="J62" s="32">
        <f t="shared" si="10"/>
      </c>
      <c r="K62" s="48">
        <f t="shared" si="11"/>
      </c>
      <c r="L62" s="33">
        <f t="shared" si="12"/>
      </c>
      <c r="M62" s="34">
        <f t="shared" si="13"/>
      </c>
      <c r="N62" s="52">
        <f t="shared" si="14"/>
      </c>
      <c r="O62" s="30">
        <f t="shared" si="15"/>
      </c>
      <c r="P62" s="1"/>
      <c r="Q62" s="1"/>
    </row>
    <row r="63" spans="2:17" ht="36" customHeight="1">
      <c r="B63" s="30">
        <f>_xlfn.IFERROR(IF(ISBLANK('Team Information Input'!A45),"",'Team Information Input'!A45),"")</f>
      </c>
      <c r="C63" s="31">
        <f>_xlfn.IFERROR(IF(ISBLANK('Team Information Input'!B45),"",'Team Information Input'!B45),"")</f>
      </c>
      <c r="D63" s="31"/>
      <c r="E63" s="32"/>
      <c r="F63" s="32"/>
      <c r="G63" s="32"/>
      <c r="H63" s="32">
        <f t="shared" si="8"/>
      </c>
      <c r="I63" s="32" t="str">
        <f t="shared" si="9"/>
        <v> </v>
      </c>
      <c r="J63" s="32">
        <f t="shared" si="10"/>
      </c>
      <c r="K63" s="48">
        <f t="shared" si="11"/>
      </c>
      <c r="L63" s="33">
        <f t="shared" si="12"/>
      </c>
      <c r="M63" s="34">
        <f t="shared" si="13"/>
      </c>
      <c r="N63" s="52">
        <f t="shared" si="14"/>
      </c>
      <c r="O63" s="30">
        <f t="shared" si="15"/>
      </c>
      <c r="P63" s="1"/>
      <c r="Q63" s="1"/>
    </row>
    <row r="64" spans="2:17" ht="36" customHeight="1">
      <c r="B64" s="30">
        <f>_xlfn.IFERROR(IF(ISBLANK('Team Information Input'!A46),"",'Team Information Input'!A46),"")</f>
      </c>
      <c r="C64" s="31">
        <f>_xlfn.IFERROR(IF(ISBLANK('Team Information Input'!B46),"",'Team Information Input'!B46),"")</f>
      </c>
      <c r="D64" s="31"/>
      <c r="E64" s="32"/>
      <c r="F64" s="32"/>
      <c r="G64" s="32"/>
      <c r="H64" s="32">
        <f t="shared" si="8"/>
      </c>
      <c r="I64" s="32" t="str">
        <f>_xlfn.IFERROR(IF(COUNTA(E64:G64)&gt;2,MEDIAN(E64:G64)," "),0)</f>
        <v> </v>
      </c>
      <c r="J64" s="32">
        <f t="shared" si="10"/>
      </c>
      <c r="K64" s="48">
        <f t="shared" si="11"/>
      </c>
      <c r="L64" s="33">
        <f t="shared" si="12"/>
      </c>
      <c r="M64" s="34">
        <f t="shared" si="13"/>
      </c>
      <c r="N64" s="52">
        <f t="shared" si="14"/>
      </c>
      <c r="O64" s="30">
        <f t="shared" si="15"/>
      </c>
      <c r="P64" s="1"/>
      <c r="Q64" s="1"/>
    </row>
    <row r="65" spans="2:17" ht="36" customHeight="1">
      <c r="B65" s="30">
        <f>_xlfn.IFERROR(IF(ISBLANK('Team Information Input'!A47),"",'Team Information Input'!A47),"")</f>
      </c>
      <c r="C65" s="31">
        <f>_xlfn.IFERROR(IF(ISBLANK('Team Information Input'!B47),"",'Team Information Input'!B47),"")</f>
      </c>
      <c r="D65" s="31"/>
      <c r="E65" s="32"/>
      <c r="F65" s="32"/>
      <c r="G65" s="32"/>
      <c r="H65" s="32">
        <f t="shared" si="8"/>
      </c>
      <c r="I65" s="32" t="str">
        <f aca="true" t="shared" si="16" ref="I65:I101">_xlfn.IFERROR(IF(COUNTA(E65:G65)&gt;2,MEDIAN(E65:G65)," ")," ")</f>
        <v> </v>
      </c>
      <c r="J65" s="32">
        <f t="shared" si="10"/>
      </c>
      <c r="K65" s="48">
        <f t="shared" si="11"/>
      </c>
      <c r="L65" s="33">
        <f t="shared" si="12"/>
      </c>
      <c r="M65" s="34">
        <f t="shared" si="13"/>
      </c>
      <c r="N65" s="52">
        <f t="shared" si="14"/>
      </c>
      <c r="O65" s="30">
        <f t="shared" si="15"/>
      </c>
      <c r="P65" s="1"/>
      <c r="Q65" s="1"/>
    </row>
    <row r="66" spans="2:17" ht="36" customHeight="1">
      <c r="B66" s="30">
        <f>_xlfn.IFERROR(IF(ISBLANK('Team Information Input'!A48),"",'Team Information Input'!A48),"")</f>
      </c>
      <c r="C66" s="31">
        <f>_xlfn.IFERROR(IF(ISBLANK('Team Information Input'!B48),"",'Team Information Input'!B48),"")</f>
      </c>
      <c r="D66" s="31"/>
      <c r="E66" s="32"/>
      <c r="F66" s="32"/>
      <c r="G66" s="32"/>
      <c r="H66" s="32">
        <f t="shared" si="8"/>
      </c>
      <c r="I66" s="32" t="str">
        <f t="shared" si="16"/>
        <v> </v>
      </c>
      <c r="J66" s="32">
        <f t="shared" si="10"/>
      </c>
      <c r="K66" s="48">
        <f t="shared" si="11"/>
      </c>
      <c r="L66" s="33">
        <f t="shared" si="12"/>
      </c>
      <c r="M66" s="34">
        <f t="shared" si="13"/>
      </c>
      <c r="N66" s="52">
        <f t="shared" si="14"/>
      </c>
      <c r="O66" s="30">
        <f t="shared" si="15"/>
      </c>
      <c r="P66" s="1"/>
      <c r="Q66" s="1"/>
    </row>
    <row r="67" spans="2:17" ht="36" customHeight="1">
      <c r="B67" s="30">
        <f>_xlfn.IFERROR(IF(ISBLANK('Team Information Input'!A50),"",'Team Information Input'!A50),"")</f>
      </c>
      <c r="C67" s="31">
        <f>_xlfn.IFERROR(IF(ISBLANK('Team Information Input'!B50),"",'Team Information Input'!B50),"")</f>
      </c>
      <c r="D67" s="31"/>
      <c r="E67" s="32"/>
      <c r="F67" s="32"/>
      <c r="G67" s="32"/>
      <c r="H67" s="32">
        <f t="shared" si="8"/>
      </c>
      <c r="I67" s="32" t="str">
        <f t="shared" si="16"/>
        <v> </v>
      </c>
      <c r="J67" s="32">
        <f t="shared" si="10"/>
      </c>
      <c r="K67" s="48">
        <f t="shared" si="11"/>
      </c>
      <c r="L67" s="33">
        <f t="shared" si="12"/>
      </c>
      <c r="M67" s="34">
        <f t="shared" si="13"/>
      </c>
      <c r="N67" s="52">
        <f t="shared" si="14"/>
      </c>
      <c r="O67" s="30">
        <f t="shared" si="15"/>
      </c>
      <c r="P67" s="1"/>
      <c r="Q67" s="1"/>
    </row>
    <row r="68" spans="2:17" ht="36" customHeight="1">
      <c r="B68" s="30">
        <f>_xlfn.IFERROR(IF(ISBLANK('Team Information Input'!A51),"",'Team Information Input'!A51),"")</f>
      </c>
      <c r="C68" s="31">
        <f>_xlfn.IFERROR(IF(ISBLANK('Team Information Input'!B51),"",'Team Information Input'!B51),"")</f>
      </c>
      <c r="D68" s="31"/>
      <c r="E68" s="32"/>
      <c r="F68" s="32"/>
      <c r="G68" s="32"/>
      <c r="H68" s="32">
        <f t="shared" si="8"/>
      </c>
      <c r="I68" s="32" t="str">
        <f t="shared" si="16"/>
        <v> </v>
      </c>
      <c r="J68" s="32">
        <f t="shared" si="10"/>
      </c>
      <c r="K68" s="48">
        <f t="shared" si="11"/>
      </c>
      <c r="L68" s="33">
        <f t="shared" si="12"/>
      </c>
      <c r="M68" s="34">
        <f t="shared" si="13"/>
      </c>
      <c r="N68" s="52">
        <f t="shared" si="14"/>
      </c>
      <c r="O68" s="30">
        <f t="shared" si="15"/>
      </c>
      <c r="P68" s="1"/>
      <c r="Q68" s="1"/>
    </row>
    <row r="69" spans="2:17" ht="36" customHeight="1">
      <c r="B69" s="30">
        <f>_xlfn.IFERROR(IF(ISBLANK('Team Information Input'!A52),"",'Team Information Input'!A52),"")</f>
      </c>
      <c r="C69" s="31">
        <f>_xlfn.IFERROR(IF(ISBLANK('Team Information Input'!B52),"",'Team Information Input'!B52),"")</f>
      </c>
      <c r="D69" s="31"/>
      <c r="E69" s="32"/>
      <c r="F69" s="32"/>
      <c r="G69" s="32"/>
      <c r="H69" s="32">
        <f t="shared" si="8"/>
      </c>
      <c r="I69" s="32" t="str">
        <f t="shared" si="16"/>
        <v> </v>
      </c>
      <c r="J69" s="32">
        <f t="shared" si="10"/>
      </c>
      <c r="K69" s="48">
        <f t="shared" si="11"/>
      </c>
      <c r="L69" s="33">
        <f t="shared" si="12"/>
      </c>
      <c r="M69" s="34">
        <f t="shared" si="13"/>
      </c>
      <c r="N69" s="52">
        <f t="shared" si="14"/>
      </c>
      <c r="O69" s="30">
        <f t="shared" si="15"/>
      </c>
      <c r="P69" s="1"/>
      <c r="Q69" s="1"/>
    </row>
    <row r="70" spans="2:17" ht="36" customHeight="1">
      <c r="B70" s="30">
        <f>_xlfn.IFERROR(IF(ISBLANK('Team Information Input'!A53),"",'Team Information Input'!A53),"")</f>
      </c>
      <c r="C70" s="31">
        <f>_xlfn.IFERROR(IF(ISBLANK('Team Information Input'!B53),"",'Team Information Input'!B53),"")</f>
      </c>
      <c r="D70" s="31"/>
      <c r="E70" s="32"/>
      <c r="F70" s="32"/>
      <c r="G70" s="32"/>
      <c r="H70" s="32">
        <f t="shared" si="8"/>
      </c>
      <c r="I70" s="32" t="str">
        <f t="shared" si="16"/>
        <v> </v>
      </c>
      <c r="J70" s="32">
        <f t="shared" si="10"/>
      </c>
      <c r="K70" s="48">
        <f t="shared" si="11"/>
      </c>
      <c r="L70" s="33">
        <f t="shared" si="12"/>
      </c>
      <c r="M70" s="34">
        <f t="shared" si="13"/>
      </c>
      <c r="N70" s="52">
        <f t="shared" si="14"/>
      </c>
      <c r="O70" s="30">
        <f t="shared" si="15"/>
      </c>
      <c r="P70" s="1"/>
      <c r="Q70" s="1"/>
    </row>
    <row r="71" spans="2:17" ht="36" customHeight="1">
      <c r="B71" s="30">
        <f>_xlfn.IFERROR(IF(ISBLANK('Team Information Input'!A54),"",'Team Information Input'!A54),"")</f>
      </c>
      <c r="C71" s="31">
        <f>_xlfn.IFERROR(IF(ISBLANK('Team Information Input'!B54),"",'Team Information Input'!B54),"")</f>
      </c>
      <c r="D71" s="31"/>
      <c r="E71" s="32"/>
      <c r="F71" s="32"/>
      <c r="G71" s="32"/>
      <c r="H71" s="32">
        <f aca="true" t="shared" si="17" ref="H71:H102">_xlfn.IFERROR(IF(COUNTA(E71:G71)&gt;1,MIN(E71:G71),""),"")</f>
      </c>
      <c r="I71" s="32" t="str">
        <f t="shared" si="16"/>
        <v> </v>
      </c>
      <c r="J71" s="32">
        <f aca="true" t="shared" si="18" ref="J71:J102">_xlfn.IFERROR(IF(SUM(E71:G71)&gt;0,MAX(E71:G71),""),"")</f>
      </c>
      <c r="K71" s="48">
        <f aca="true" t="shared" si="19" ref="K71:K102">_xlfn.IFERROR(H71+I71*10000+J71*100000000,_xlfn.IFERROR(H71*10000+J71*100000000,_xlfn.IFERROR(J71*100000000,"")))</f>
      </c>
      <c r="L71" s="33">
        <f aca="true" t="shared" si="20" ref="L71:L102">_xlfn.IFERROR(IF(ISNUMBER(J71),RANK(K71,K$1:K$65536,0),""),"")</f>
      </c>
      <c r="M71" s="34">
        <f aca="true" t="shared" si="21" ref="M71:M102">_xlfn.IFERROR(IF(ISNUMBER(J71),L71/MAX($L:$L),""),"")</f>
      </c>
      <c r="N71" s="52">
        <f aca="true" t="shared" si="22" ref="N71:N102">IF(L71=1,"1st Place Robot Performance",IF(L71=2,"2nd Place Robot Performance",IF(L71=3,"3rd Place Robot Performance","")))</f>
      </c>
      <c r="O71" s="30">
        <f aca="true" t="shared" si="23" ref="O71:O102">B71</f>
      </c>
      <c r="P71" s="1"/>
      <c r="Q71" s="1"/>
    </row>
    <row r="72" spans="2:17" ht="36" customHeight="1">
      <c r="B72" s="30">
        <f>_xlfn.IFERROR(IF(ISBLANK('Team Information Input'!A55),"",'Team Information Input'!A55),"")</f>
      </c>
      <c r="C72" s="31">
        <f>_xlfn.IFERROR(IF(ISBLANK('Team Information Input'!B55),"",'Team Information Input'!B55),"")</f>
      </c>
      <c r="D72" s="31"/>
      <c r="E72" s="32"/>
      <c r="F72" s="32"/>
      <c r="G72" s="32"/>
      <c r="H72" s="32">
        <f t="shared" si="17"/>
      </c>
      <c r="I72" s="32" t="str">
        <f t="shared" si="16"/>
        <v> </v>
      </c>
      <c r="J72" s="32">
        <f t="shared" si="18"/>
      </c>
      <c r="K72" s="48">
        <f t="shared" si="19"/>
      </c>
      <c r="L72" s="33">
        <f t="shared" si="20"/>
      </c>
      <c r="M72" s="34">
        <f t="shared" si="21"/>
      </c>
      <c r="N72" s="52">
        <f t="shared" si="22"/>
      </c>
      <c r="O72" s="30">
        <f t="shared" si="23"/>
      </c>
      <c r="P72" s="1"/>
      <c r="Q72" s="1"/>
    </row>
    <row r="73" spans="2:17" ht="36" customHeight="1">
      <c r="B73" s="30">
        <f>_xlfn.IFERROR(IF(ISBLANK('Team Information Input'!A60),"",'Team Information Input'!A60),"")</f>
      </c>
      <c r="C73" s="31">
        <f>_xlfn.IFERROR(IF(ISBLANK('Team Information Input'!B60),"",'Team Information Input'!B60),"")</f>
      </c>
      <c r="D73" s="31"/>
      <c r="E73" s="32"/>
      <c r="F73" s="32"/>
      <c r="G73" s="32"/>
      <c r="H73" s="32">
        <f t="shared" si="17"/>
      </c>
      <c r="I73" s="32" t="str">
        <f t="shared" si="16"/>
        <v> </v>
      </c>
      <c r="J73" s="32">
        <f t="shared" si="18"/>
      </c>
      <c r="K73" s="48">
        <f t="shared" si="19"/>
      </c>
      <c r="L73" s="33">
        <f t="shared" si="20"/>
      </c>
      <c r="M73" s="34">
        <f t="shared" si="21"/>
      </c>
      <c r="N73" s="52">
        <f t="shared" si="22"/>
      </c>
      <c r="O73" s="30">
        <f t="shared" si="23"/>
      </c>
      <c r="P73" s="1"/>
      <c r="Q73" s="1"/>
    </row>
    <row r="74" spans="2:17" ht="36" customHeight="1">
      <c r="B74" s="30">
        <f>_xlfn.IFERROR(IF(ISBLANK('Team Information Input'!A56),"",'Team Information Input'!A56),"")</f>
      </c>
      <c r="C74" s="31">
        <f>_xlfn.IFERROR(IF(ISBLANK('Team Information Input'!B56),"",'Team Information Input'!B56),"")</f>
      </c>
      <c r="D74" s="31"/>
      <c r="E74" s="32"/>
      <c r="F74" s="32"/>
      <c r="G74" s="32"/>
      <c r="H74" s="32">
        <f t="shared" si="17"/>
      </c>
      <c r="I74" s="32" t="str">
        <f t="shared" si="16"/>
        <v> </v>
      </c>
      <c r="J74" s="32">
        <f t="shared" si="18"/>
      </c>
      <c r="K74" s="48">
        <f t="shared" si="19"/>
      </c>
      <c r="L74" s="33">
        <f t="shared" si="20"/>
      </c>
      <c r="M74" s="34">
        <f t="shared" si="21"/>
      </c>
      <c r="N74" s="52">
        <f t="shared" si="22"/>
      </c>
      <c r="O74" s="30">
        <f t="shared" si="23"/>
      </c>
      <c r="P74" s="1"/>
      <c r="Q74" s="1"/>
    </row>
    <row r="75" spans="2:17" ht="36" customHeight="1">
      <c r="B75" s="30">
        <f>_xlfn.IFERROR(IF(ISBLANK('Team Information Input'!A57),"",'Team Information Input'!A57),"")</f>
      </c>
      <c r="C75" s="31">
        <f>_xlfn.IFERROR(IF(ISBLANK('Team Information Input'!B57),"",'Team Information Input'!B57),"")</f>
      </c>
      <c r="D75" s="31"/>
      <c r="E75" s="32"/>
      <c r="F75" s="32"/>
      <c r="G75" s="32"/>
      <c r="H75" s="32">
        <f t="shared" si="17"/>
      </c>
      <c r="I75" s="32" t="str">
        <f t="shared" si="16"/>
        <v> </v>
      </c>
      <c r="J75" s="32">
        <f t="shared" si="18"/>
      </c>
      <c r="K75" s="48">
        <f t="shared" si="19"/>
      </c>
      <c r="L75" s="33">
        <f t="shared" si="20"/>
      </c>
      <c r="M75" s="34">
        <f t="shared" si="21"/>
      </c>
      <c r="N75" s="52">
        <f t="shared" si="22"/>
      </c>
      <c r="O75" s="30">
        <f t="shared" si="23"/>
      </c>
      <c r="P75" s="1"/>
      <c r="Q75" s="1"/>
    </row>
    <row r="76" spans="2:17" ht="36" customHeight="1">
      <c r="B76" s="30">
        <f>_xlfn.IFERROR(IF(ISBLANK('Team Information Input'!A61),"",'Team Information Input'!A61),"")</f>
      </c>
      <c r="C76" s="31">
        <f>_xlfn.IFERROR(IF(ISBLANK('Team Information Input'!B61),"",'Team Information Input'!B61),"")</f>
      </c>
      <c r="D76" s="31"/>
      <c r="E76" s="32"/>
      <c r="F76" s="32"/>
      <c r="G76" s="32"/>
      <c r="H76" s="32">
        <f t="shared" si="17"/>
      </c>
      <c r="I76" s="32" t="str">
        <f t="shared" si="16"/>
        <v> </v>
      </c>
      <c r="J76" s="32">
        <f t="shared" si="18"/>
      </c>
      <c r="K76" s="48">
        <f t="shared" si="19"/>
      </c>
      <c r="L76" s="33">
        <f t="shared" si="20"/>
      </c>
      <c r="M76" s="34">
        <f t="shared" si="21"/>
      </c>
      <c r="N76" s="52">
        <f t="shared" si="22"/>
      </c>
      <c r="O76" s="30">
        <f t="shared" si="23"/>
      </c>
      <c r="P76" s="1"/>
      <c r="Q76" s="1"/>
    </row>
    <row r="77" spans="2:17" ht="36" customHeight="1">
      <c r="B77" s="30">
        <f>_xlfn.IFERROR(IF(ISBLANK('Team Information Input'!A64),"",'Team Information Input'!A64),"")</f>
      </c>
      <c r="C77" s="31">
        <f>_xlfn.IFERROR(IF(ISBLANK('Team Information Input'!B64),"",'Team Information Input'!B64),"")</f>
      </c>
      <c r="D77" s="31"/>
      <c r="E77" s="32"/>
      <c r="F77" s="32"/>
      <c r="G77" s="32"/>
      <c r="H77" s="32">
        <f t="shared" si="17"/>
      </c>
      <c r="I77" s="32" t="str">
        <f t="shared" si="16"/>
        <v> </v>
      </c>
      <c r="J77" s="32">
        <f t="shared" si="18"/>
      </c>
      <c r="K77" s="48">
        <f t="shared" si="19"/>
      </c>
      <c r="L77" s="33">
        <f t="shared" si="20"/>
      </c>
      <c r="M77" s="34">
        <f t="shared" si="21"/>
      </c>
      <c r="N77" s="52">
        <f t="shared" si="22"/>
      </c>
      <c r="O77" s="30">
        <f t="shared" si="23"/>
      </c>
      <c r="P77" s="1"/>
      <c r="Q77" s="1"/>
    </row>
    <row r="78" spans="2:17" ht="36" customHeight="1">
      <c r="B78" s="30">
        <f>_xlfn.IFERROR(IF(ISBLANK('Team Information Input'!A65),"",'Team Information Input'!A65),"")</f>
      </c>
      <c r="C78" s="31">
        <f>_xlfn.IFERROR(IF(ISBLANK('Team Information Input'!B65),"",'Team Information Input'!B65),"")</f>
      </c>
      <c r="D78" s="31"/>
      <c r="E78" s="32"/>
      <c r="F78" s="32"/>
      <c r="G78" s="32"/>
      <c r="H78" s="32">
        <f t="shared" si="17"/>
      </c>
      <c r="I78" s="32" t="str">
        <f t="shared" si="16"/>
        <v> </v>
      </c>
      <c r="J78" s="32">
        <f t="shared" si="18"/>
      </c>
      <c r="K78" s="48">
        <f t="shared" si="19"/>
      </c>
      <c r="L78" s="33">
        <f t="shared" si="20"/>
      </c>
      <c r="M78" s="34">
        <f t="shared" si="21"/>
      </c>
      <c r="N78" s="52">
        <f t="shared" si="22"/>
      </c>
      <c r="O78" s="30">
        <f t="shared" si="23"/>
      </c>
      <c r="P78" s="1"/>
      <c r="Q78" s="1"/>
    </row>
    <row r="79" spans="2:17" ht="36" customHeight="1">
      <c r="B79" s="30">
        <f>_xlfn.IFERROR(IF(ISBLANK('Team Information Input'!A70),"",'Team Information Input'!A70),"")</f>
      </c>
      <c r="C79" s="31">
        <f>_xlfn.IFERROR(IF(ISBLANK('Team Information Input'!B70),"",'Team Information Input'!B70),"")</f>
      </c>
      <c r="D79" s="31"/>
      <c r="E79" s="32"/>
      <c r="F79" s="32"/>
      <c r="G79" s="32"/>
      <c r="H79" s="32">
        <f t="shared" si="17"/>
      </c>
      <c r="I79" s="32" t="str">
        <f t="shared" si="16"/>
        <v> </v>
      </c>
      <c r="J79" s="32">
        <f t="shared" si="18"/>
      </c>
      <c r="K79" s="48">
        <f t="shared" si="19"/>
      </c>
      <c r="L79" s="33">
        <f t="shared" si="20"/>
      </c>
      <c r="M79" s="34">
        <f t="shared" si="21"/>
      </c>
      <c r="N79" s="52">
        <f t="shared" si="22"/>
      </c>
      <c r="O79" s="30">
        <f t="shared" si="23"/>
      </c>
      <c r="P79" s="1"/>
      <c r="Q79" s="1"/>
    </row>
    <row r="80" spans="2:17" ht="36" customHeight="1">
      <c r="B80" s="30">
        <f>_xlfn.IFERROR(IF(ISBLANK('Team Information Input'!A71),"",'Team Information Input'!A71),"")</f>
      </c>
      <c r="C80" s="31">
        <f>_xlfn.IFERROR(IF(ISBLANK('Team Information Input'!B71),"",'Team Information Input'!B71),"")</f>
      </c>
      <c r="D80" s="31"/>
      <c r="E80" s="32"/>
      <c r="F80" s="32"/>
      <c r="G80" s="32"/>
      <c r="H80" s="32">
        <f t="shared" si="17"/>
      </c>
      <c r="I80" s="32" t="str">
        <f t="shared" si="16"/>
        <v> </v>
      </c>
      <c r="J80" s="32">
        <f t="shared" si="18"/>
      </c>
      <c r="K80" s="48">
        <f t="shared" si="19"/>
      </c>
      <c r="L80" s="33">
        <f t="shared" si="20"/>
      </c>
      <c r="M80" s="34">
        <f t="shared" si="21"/>
      </c>
      <c r="N80" s="52">
        <f t="shared" si="22"/>
      </c>
      <c r="O80" s="30">
        <f t="shared" si="23"/>
      </c>
      <c r="P80" s="1"/>
      <c r="Q80" s="1"/>
    </row>
    <row r="81" spans="2:17" ht="36" customHeight="1">
      <c r="B81" s="30">
        <f>_xlfn.IFERROR(IF(ISBLANK('Team Information Input'!A72),"",'Team Information Input'!A72),"")</f>
      </c>
      <c r="C81" s="31">
        <f>_xlfn.IFERROR(IF(ISBLANK('Team Information Input'!B72),"",'Team Information Input'!B72),"")</f>
      </c>
      <c r="D81" s="31"/>
      <c r="E81" s="32"/>
      <c r="F81" s="32"/>
      <c r="G81" s="32"/>
      <c r="H81" s="32">
        <f t="shared" si="17"/>
      </c>
      <c r="I81" s="32" t="str">
        <f t="shared" si="16"/>
        <v> </v>
      </c>
      <c r="J81" s="32">
        <f t="shared" si="18"/>
      </c>
      <c r="K81" s="48">
        <f t="shared" si="19"/>
      </c>
      <c r="L81" s="33">
        <f t="shared" si="20"/>
      </c>
      <c r="M81" s="34">
        <f t="shared" si="21"/>
      </c>
      <c r="N81" s="52">
        <f t="shared" si="22"/>
      </c>
      <c r="O81" s="30">
        <f t="shared" si="23"/>
      </c>
      <c r="P81" s="1"/>
      <c r="Q81" s="1"/>
    </row>
    <row r="82" spans="2:17" ht="36" customHeight="1">
      <c r="B82" s="30">
        <f>_xlfn.IFERROR(IF(ISBLANK('Team Information Input'!A93),"",'Team Information Input'!A93),"")</f>
      </c>
      <c r="C82" s="31">
        <f>_xlfn.IFERROR(IF(ISBLANK('Team Information Input'!B93),"",'Team Information Input'!B93),"")</f>
      </c>
      <c r="D82" s="31"/>
      <c r="E82" s="32"/>
      <c r="F82" s="32"/>
      <c r="G82" s="32"/>
      <c r="H82" s="32">
        <f t="shared" si="17"/>
      </c>
      <c r="I82" s="32" t="str">
        <f t="shared" si="16"/>
        <v> </v>
      </c>
      <c r="J82" s="32">
        <f t="shared" si="18"/>
      </c>
      <c r="K82" s="48">
        <f t="shared" si="19"/>
      </c>
      <c r="L82" s="33">
        <f t="shared" si="20"/>
      </c>
      <c r="M82" s="34">
        <f t="shared" si="21"/>
      </c>
      <c r="N82" s="52">
        <f t="shared" si="22"/>
      </c>
      <c r="O82" s="30">
        <f t="shared" si="23"/>
      </c>
      <c r="P82" s="1"/>
      <c r="Q82" s="1"/>
    </row>
    <row r="83" spans="2:17" ht="36" customHeight="1">
      <c r="B83" s="30">
        <f>_xlfn.IFERROR(IF(ISBLANK('Team Information Input'!A101),"",'Team Information Input'!A101),"")</f>
      </c>
      <c r="C83" s="31">
        <f>_xlfn.IFERROR(IF(ISBLANK('Team Information Input'!B101),"",'Team Information Input'!B101),"")</f>
      </c>
      <c r="D83" s="31"/>
      <c r="E83" s="32"/>
      <c r="F83" s="32"/>
      <c r="G83" s="32"/>
      <c r="H83" s="32">
        <f t="shared" si="17"/>
      </c>
      <c r="I83" s="32" t="str">
        <f t="shared" si="16"/>
        <v> </v>
      </c>
      <c r="J83" s="32">
        <f t="shared" si="18"/>
      </c>
      <c r="K83" s="48">
        <f t="shared" si="19"/>
      </c>
      <c r="L83" s="33">
        <f t="shared" si="20"/>
      </c>
      <c r="M83" s="34">
        <f t="shared" si="21"/>
      </c>
      <c r="N83" s="52">
        <f t="shared" si="22"/>
      </c>
      <c r="O83" s="30">
        <f t="shared" si="23"/>
      </c>
      <c r="P83" s="1"/>
      <c r="Q83" s="1"/>
    </row>
    <row r="84" spans="2:17" ht="36" customHeight="1">
      <c r="B84" s="30">
        <f>_xlfn.IFERROR(IF(ISBLANK('Team Information Input'!A73),"",'Team Information Input'!A73),"")</f>
      </c>
      <c r="C84" s="31">
        <f>_xlfn.IFERROR(IF(ISBLANK('Team Information Input'!B73),"",'Team Information Input'!B73),"")</f>
      </c>
      <c r="D84" s="31"/>
      <c r="E84" s="32"/>
      <c r="F84" s="32"/>
      <c r="G84" s="32"/>
      <c r="H84" s="32">
        <f t="shared" si="17"/>
      </c>
      <c r="I84" s="32" t="str">
        <f t="shared" si="16"/>
        <v> </v>
      </c>
      <c r="J84" s="32">
        <f t="shared" si="18"/>
      </c>
      <c r="K84" s="48">
        <f t="shared" si="19"/>
      </c>
      <c r="L84" s="33">
        <f t="shared" si="20"/>
      </c>
      <c r="M84" s="34">
        <f t="shared" si="21"/>
      </c>
      <c r="N84" s="52">
        <f t="shared" si="22"/>
      </c>
      <c r="O84" s="30">
        <f t="shared" si="23"/>
      </c>
      <c r="P84" s="1"/>
      <c r="Q84" s="1"/>
    </row>
    <row r="85" spans="2:17" ht="36" customHeight="1">
      <c r="B85" s="30">
        <f>_xlfn.IFERROR(IF(ISBLANK('Team Information Input'!A74),"",'Team Information Input'!A74),"")</f>
      </c>
      <c r="C85" s="31">
        <f>_xlfn.IFERROR(IF(ISBLANK('Team Information Input'!B74),"",'Team Information Input'!B74),"")</f>
      </c>
      <c r="D85" s="31"/>
      <c r="E85" s="32"/>
      <c r="F85" s="32"/>
      <c r="G85" s="32"/>
      <c r="H85" s="32">
        <f t="shared" si="17"/>
      </c>
      <c r="I85" s="32" t="str">
        <f t="shared" si="16"/>
        <v> </v>
      </c>
      <c r="J85" s="32">
        <f t="shared" si="18"/>
      </c>
      <c r="K85" s="48">
        <f t="shared" si="19"/>
      </c>
      <c r="L85" s="33">
        <f t="shared" si="20"/>
      </c>
      <c r="M85" s="34">
        <f t="shared" si="21"/>
      </c>
      <c r="N85" s="52">
        <f t="shared" si="22"/>
      </c>
      <c r="O85" s="30">
        <f t="shared" si="23"/>
      </c>
      <c r="P85" s="1"/>
      <c r="Q85" s="1"/>
    </row>
    <row r="86" spans="2:17" ht="36" customHeight="1">
      <c r="B86" s="30">
        <f>_xlfn.IFERROR(IF(ISBLANK('Team Information Input'!A75),"",'Team Information Input'!A75),"")</f>
      </c>
      <c r="C86" s="31">
        <f>_xlfn.IFERROR(IF(ISBLANK('Team Information Input'!B75),"",'Team Information Input'!B75),"")</f>
      </c>
      <c r="D86" s="31"/>
      <c r="E86" s="32"/>
      <c r="F86" s="32"/>
      <c r="G86" s="32"/>
      <c r="H86" s="32">
        <f t="shared" si="17"/>
      </c>
      <c r="I86" s="32" t="str">
        <f t="shared" si="16"/>
        <v> </v>
      </c>
      <c r="J86" s="32">
        <f t="shared" si="18"/>
      </c>
      <c r="K86" s="48">
        <f t="shared" si="19"/>
      </c>
      <c r="L86" s="33">
        <f t="shared" si="20"/>
      </c>
      <c r="M86" s="34">
        <f t="shared" si="21"/>
      </c>
      <c r="N86" s="52">
        <f t="shared" si="22"/>
      </c>
      <c r="O86" s="30">
        <f t="shared" si="23"/>
      </c>
      <c r="P86" s="1"/>
      <c r="Q86" s="1"/>
    </row>
    <row r="87" spans="2:17" ht="36" customHeight="1">
      <c r="B87" s="30">
        <f>_xlfn.IFERROR(IF(ISBLANK('Team Information Input'!A76),"",'Team Information Input'!A76),"")</f>
      </c>
      <c r="C87" s="31">
        <f>_xlfn.IFERROR(IF(ISBLANK('Team Information Input'!B76),"",'Team Information Input'!B76),"")</f>
      </c>
      <c r="D87" s="31"/>
      <c r="E87" s="32"/>
      <c r="F87" s="32"/>
      <c r="G87" s="32"/>
      <c r="H87" s="32">
        <f t="shared" si="17"/>
      </c>
      <c r="I87" s="32" t="str">
        <f t="shared" si="16"/>
        <v> </v>
      </c>
      <c r="J87" s="32">
        <f t="shared" si="18"/>
      </c>
      <c r="K87" s="48">
        <f t="shared" si="19"/>
      </c>
      <c r="L87" s="33">
        <f t="shared" si="20"/>
      </c>
      <c r="M87" s="34">
        <f t="shared" si="21"/>
      </c>
      <c r="N87" s="52">
        <f t="shared" si="22"/>
      </c>
      <c r="O87" s="30">
        <f t="shared" si="23"/>
      </c>
      <c r="P87" s="1"/>
      <c r="Q87" s="1"/>
    </row>
    <row r="88" spans="2:17" ht="36" customHeight="1">
      <c r="B88" s="30">
        <f>_xlfn.IFERROR(IF(ISBLANK('Team Information Input'!A77),"",'Team Information Input'!A77),"")</f>
      </c>
      <c r="C88" s="31">
        <f>_xlfn.IFERROR(IF(ISBLANK('Team Information Input'!B77),"",'Team Information Input'!B77),"")</f>
      </c>
      <c r="D88" s="31"/>
      <c r="E88" s="32"/>
      <c r="F88" s="32"/>
      <c r="G88" s="32"/>
      <c r="H88" s="32">
        <f t="shared" si="17"/>
      </c>
      <c r="I88" s="32" t="str">
        <f t="shared" si="16"/>
        <v> </v>
      </c>
      <c r="J88" s="32">
        <f t="shared" si="18"/>
      </c>
      <c r="K88" s="48">
        <f t="shared" si="19"/>
      </c>
      <c r="L88" s="33">
        <f t="shared" si="20"/>
      </c>
      <c r="M88" s="34">
        <f t="shared" si="21"/>
      </c>
      <c r="N88" s="52">
        <f t="shared" si="22"/>
      </c>
      <c r="O88" s="30">
        <f t="shared" si="23"/>
      </c>
      <c r="P88" s="1"/>
      <c r="Q88" s="1"/>
    </row>
    <row r="89" spans="2:17" ht="36" customHeight="1">
      <c r="B89" s="30">
        <f>_xlfn.IFERROR(IF(ISBLANK('Team Information Input'!A78),"",'Team Information Input'!A78),"")</f>
      </c>
      <c r="C89" s="31">
        <f>_xlfn.IFERROR(IF(ISBLANK('Team Information Input'!B78),"",'Team Information Input'!B78),"")</f>
      </c>
      <c r="D89" s="31"/>
      <c r="E89" s="32"/>
      <c r="F89" s="32"/>
      <c r="G89" s="32"/>
      <c r="H89" s="32">
        <f t="shared" si="17"/>
      </c>
      <c r="I89" s="32" t="str">
        <f t="shared" si="16"/>
        <v> </v>
      </c>
      <c r="J89" s="32">
        <f t="shared" si="18"/>
      </c>
      <c r="K89" s="48">
        <f t="shared" si="19"/>
      </c>
      <c r="L89" s="33">
        <f t="shared" si="20"/>
      </c>
      <c r="M89" s="34">
        <f t="shared" si="21"/>
      </c>
      <c r="N89" s="52">
        <f t="shared" si="22"/>
      </c>
      <c r="O89" s="30">
        <f t="shared" si="23"/>
      </c>
      <c r="P89" s="1"/>
      <c r="Q89" s="1"/>
    </row>
    <row r="90" spans="2:17" ht="36" customHeight="1">
      <c r="B90" s="30">
        <f>_xlfn.IFERROR(IF(ISBLANK('Team Information Input'!A79),"",'Team Information Input'!A79),"")</f>
      </c>
      <c r="C90" s="31">
        <f>_xlfn.IFERROR(IF(ISBLANK('Team Information Input'!B79),"",'Team Information Input'!B79),"")</f>
      </c>
      <c r="D90" s="31"/>
      <c r="E90" s="32"/>
      <c r="F90" s="32"/>
      <c r="G90" s="32"/>
      <c r="H90" s="32">
        <f t="shared" si="17"/>
      </c>
      <c r="I90" s="32" t="str">
        <f t="shared" si="16"/>
        <v> </v>
      </c>
      <c r="J90" s="32">
        <f t="shared" si="18"/>
      </c>
      <c r="K90" s="48">
        <f t="shared" si="19"/>
      </c>
      <c r="L90" s="33">
        <f t="shared" si="20"/>
      </c>
      <c r="M90" s="34">
        <f t="shared" si="21"/>
      </c>
      <c r="N90" s="52">
        <f t="shared" si="22"/>
      </c>
      <c r="O90" s="30">
        <f t="shared" si="23"/>
      </c>
      <c r="P90" s="1"/>
      <c r="Q90" s="1"/>
    </row>
    <row r="91" spans="2:17" ht="36" customHeight="1">
      <c r="B91" s="30">
        <f>_xlfn.IFERROR(IF(ISBLANK('Team Information Input'!A80),"",'Team Information Input'!A80),"")</f>
      </c>
      <c r="C91" s="31">
        <f>_xlfn.IFERROR(IF(ISBLANK('Team Information Input'!B80),"",'Team Information Input'!B80),"")</f>
      </c>
      <c r="D91" s="31"/>
      <c r="E91" s="32"/>
      <c r="F91" s="32"/>
      <c r="G91" s="32"/>
      <c r="H91" s="32">
        <f t="shared" si="17"/>
      </c>
      <c r="I91" s="32" t="str">
        <f t="shared" si="16"/>
        <v> </v>
      </c>
      <c r="J91" s="32">
        <f t="shared" si="18"/>
      </c>
      <c r="K91" s="48">
        <f t="shared" si="19"/>
      </c>
      <c r="L91" s="33">
        <f t="shared" si="20"/>
      </c>
      <c r="M91" s="34">
        <f t="shared" si="21"/>
      </c>
      <c r="N91" s="52">
        <f t="shared" si="22"/>
      </c>
      <c r="O91" s="30">
        <f t="shared" si="23"/>
      </c>
      <c r="P91" s="1"/>
      <c r="Q91" s="1"/>
    </row>
    <row r="92" spans="2:17" ht="36" customHeight="1">
      <c r="B92" s="30">
        <f>_xlfn.IFERROR(IF(ISBLANK('Team Information Input'!A81),"",'Team Information Input'!A81),"")</f>
      </c>
      <c r="C92" s="31">
        <f>_xlfn.IFERROR(IF(ISBLANK('Team Information Input'!B81),"",'Team Information Input'!B81),"")</f>
      </c>
      <c r="D92" s="31"/>
      <c r="E92" s="32"/>
      <c r="F92" s="32"/>
      <c r="G92" s="32"/>
      <c r="H92" s="32">
        <f t="shared" si="17"/>
      </c>
      <c r="I92" s="32" t="str">
        <f t="shared" si="16"/>
        <v> </v>
      </c>
      <c r="J92" s="32">
        <f t="shared" si="18"/>
      </c>
      <c r="K92" s="48">
        <f t="shared" si="19"/>
      </c>
      <c r="L92" s="33">
        <f t="shared" si="20"/>
      </c>
      <c r="M92" s="34">
        <f t="shared" si="21"/>
      </c>
      <c r="N92" s="52">
        <f t="shared" si="22"/>
      </c>
      <c r="O92" s="30">
        <f t="shared" si="23"/>
      </c>
      <c r="P92" s="1"/>
      <c r="Q92" s="1"/>
    </row>
    <row r="93" spans="2:17" ht="36" customHeight="1">
      <c r="B93" s="30">
        <f>_xlfn.IFERROR(IF(ISBLANK('Team Information Input'!A82),"",'Team Information Input'!A82),"")</f>
      </c>
      <c r="C93" s="31">
        <f>_xlfn.IFERROR(IF(ISBLANK('Team Information Input'!B82),"",'Team Information Input'!B82),"")</f>
      </c>
      <c r="D93" s="31"/>
      <c r="E93" s="32"/>
      <c r="F93" s="32"/>
      <c r="G93" s="32"/>
      <c r="H93" s="32">
        <f t="shared" si="17"/>
      </c>
      <c r="I93" s="32" t="str">
        <f t="shared" si="16"/>
        <v> </v>
      </c>
      <c r="J93" s="32">
        <f t="shared" si="18"/>
      </c>
      <c r="K93" s="48">
        <f t="shared" si="19"/>
      </c>
      <c r="L93" s="33">
        <f t="shared" si="20"/>
      </c>
      <c r="M93" s="34">
        <f t="shared" si="21"/>
      </c>
      <c r="N93" s="52">
        <f t="shared" si="22"/>
      </c>
      <c r="O93" s="30">
        <f t="shared" si="23"/>
      </c>
      <c r="P93" s="1"/>
      <c r="Q93" s="1"/>
    </row>
    <row r="94" spans="2:17" ht="36" customHeight="1">
      <c r="B94" s="30">
        <f>_xlfn.IFERROR(IF(ISBLANK('Team Information Input'!A91),"",'Team Information Input'!A91),"")</f>
      </c>
      <c r="C94" s="31">
        <f>_xlfn.IFERROR(IF(ISBLANK('Team Information Input'!B91),"",'Team Information Input'!B91),"")</f>
      </c>
      <c r="D94" s="31"/>
      <c r="E94" s="32"/>
      <c r="F94" s="32"/>
      <c r="G94" s="32"/>
      <c r="H94" s="32">
        <f t="shared" si="17"/>
      </c>
      <c r="I94" s="32" t="str">
        <f t="shared" si="16"/>
        <v> </v>
      </c>
      <c r="J94" s="32">
        <f t="shared" si="18"/>
      </c>
      <c r="K94" s="48">
        <f t="shared" si="19"/>
      </c>
      <c r="L94" s="33">
        <f t="shared" si="20"/>
      </c>
      <c r="M94" s="34">
        <f t="shared" si="21"/>
      </c>
      <c r="N94" s="52">
        <f t="shared" si="22"/>
      </c>
      <c r="O94" s="30">
        <f t="shared" si="23"/>
      </c>
      <c r="P94" s="1"/>
      <c r="Q94" s="1"/>
    </row>
    <row r="95" spans="2:17" ht="36" customHeight="1">
      <c r="B95" s="30">
        <f>_xlfn.IFERROR(IF(ISBLANK('Team Information Input'!A83),"",'Team Information Input'!A83),"")</f>
      </c>
      <c r="C95" s="31">
        <f>_xlfn.IFERROR(IF(ISBLANK('Team Information Input'!B83),"",'Team Information Input'!B83),"")</f>
      </c>
      <c r="D95" s="31"/>
      <c r="E95" s="32"/>
      <c r="F95" s="32"/>
      <c r="G95" s="32"/>
      <c r="H95" s="32">
        <f t="shared" si="17"/>
      </c>
      <c r="I95" s="32" t="str">
        <f t="shared" si="16"/>
        <v> </v>
      </c>
      <c r="J95" s="32">
        <f t="shared" si="18"/>
      </c>
      <c r="K95" s="48">
        <f t="shared" si="19"/>
      </c>
      <c r="L95" s="33">
        <f t="shared" si="20"/>
      </c>
      <c r="M95" s="34">
        <f t="shared" si="21"/>
      </c>
      <c r="N95" s="52">
        <f t="shared" si="22"/>
      </c>
      <c r="O95" s="30">
        <f t="shared" si="23"/>
      </c>
      <c r="P95" s="1"/>
      <c r="Q95" s="1"/>
    </row>
    <row r="96" spans="2:17" ht="36" customHeight="1">
      <c r="B96" s="30">
        <f>_xlfn.IFERROR(IF(ISBLANK('Team Information Input'!A94),"",'Team Information Input'!A94),"")</f>
      </c>
      <c r="C96" s="31">
        <f>_xlfn.IFERROR(IF(ISBLANK('Team Information Input'!B94),"",'Team Information Input'!B94),"")</f>
      </c>
      <c r="D96" s="31"/>
      <c r="E96" s="32"/>
      <c r="F96" s="32"/>
      <c r="G96" s="32"/>
      <c r="H96" s="32">
        <f t="shared" si="17"/>
      </c>
      <c r="I96" s="32" t="str">
        <f t="shared" si="16"/>
        <v> </v>
      </c>
      <c r="J96" s="32">
        <f t="shared" si="18"/>
      </c>
      <c r="K96" s="48">
        <f t="shared" si="19"/>
      </c>
      <c r="L96" s="33">
        <f t="shared" si="20"/>
      </c>
      <c r="M96" s="34">
        <f t="shared" si="21"/>
      </c>
      <c r="N96" s="52">
        <f t="shared" si="22"/>
      </c>
      <c r="O96" s="30">
        <f t="shared" si="23"/>
      </c>
      <c r="P96" s="1"/>
      <c r="Q96" s="1"/>
    </row>
    <row r="97" spans="2:17" ht="36" customHeight="1">
      <c r="B97" s="30">
        <f>_xlfn.IFERROR(IF(ISBLANK('Team Information Input'!A95),"",'Team Information Input'!A95),"")</f>
      </c>
      <c r="C97" s="31">
        <f>_xlfn.IFERROR(IF(ISBLANK('Team Information Input'!B95),"",'Team Information Input'!B95),"")</f>
      </c>
      <c r="D97" s="31"/>
      <c r="E97" s="32"/>
      <c r="F97" s="32"/>
      <c r="G97" s="32"/>
      <c r="H97" s="32">
        <f t="shared" si="17"/>
      </c>
      <c r="I97" s="32" t="str">
        <f t="shared" si="16"/>
        <v> </v>
      </c>
      <c r="J97" s="32">
        <f t="shared" si="18"/>
      </c>
      <c r="K97" s="48">
        <f t="shared" si="19"/>
      </c>
      <c r="L97" s="33">
        <f t="shared" si="20"/>
      </c>
      <c r="M97" s="34">
        <f t="shared" si="21"/>
      </c>
      <c r="N97" s="52">
        <f t="shared" si="22"/>
      </c>
      <c r="O97" s="30">
        <f t="shared" si="23"/>
      </c>
      <c r="P97" s="1"/>
      <c r="Q97" s="1"/>
    </row>
    <row r="98" spans="2:17" ht="36" customHeight="1">
      <c r="B98" s="30">
        <f>_xlfn.IFERROR(IF(ISBLANK('Team Information Input'!A84),"",'Team Information Input'!A84),"")</f>
      </c>
      <c r="C98" s="31">
        <f>_xlfn.IFERROR(IF(ISBLANK('Team Information Input'!B84),"",'Team Information Input'!B84),"")</f>
      </c>
      <c r="D98" s="31"/>
      <c r="E98" s="32"/>
      <c r="F98" s="32"/>
      <c r="G98" s="32"/>
      <c r="H98" s="32">
        <f t="shared" si="17"/>
      </c>
      <c r="I98" s="32" t="str">
        <f t="shared" si="16"/>
        <v> </v>
      </c>
      <c r="J98" s="32">
        <f t="shared" si="18"/>
      </c>
      <c r="K98" s="48">
        <f t="shared" si="19"/>
      </c>
      <c r="L98" s="33">
        <f t="shared" si="20"/>
      </c>
      <c r="M98" s="34">
        <f t="shared" si="21"/>
      </c>
      <c r="N98" s="52">
        <f t="shared" si="22"/>
      </c>
      <c r="O98" s="30">
        <f t="shared" si="23"/>
      </c>
      <c r="P98" s="1"/>
      <c r="Q98" s="1"/>
    </row>
    <row r="99" spans="2:17" ht="36" customHeight="1">
      <c r="B99" s="30">
        <f>_xlfn.IFERROR(IF(ISBLANK('Team Information Input'!A104),"",'Team Information Input'!A104),"")</f>
      </c>
      <c r="C99" s="31">
        <f>_xlfn.IFERROR(IF(ISBLANK('Team Information Input'!B104),"",'Team Information Input'!B104),"")</f>
      </c>
      <c r="D99" s="31"/>
      <c r="E99" s="32"/>
      <c r="F99" s="32"/>
      <c r="G99" s="32"/>
      <c r="H99" s="32">
        <f t="shared" si="17"/>
      </c>
      <c r="I99" s="32" t="str">
        <f t="shared" si="16"/>
        <v> </v>
      </c>
      <c r="J99" s="32">
        <f t="shared" si="18"/>
      </c>
      <c r="K99" s="48">
        <f t="shared" si="19"/>
      </c>
      <c r="L99" s="33">
        <f t="shared" si="20"/>
      </c>
      <c r="M99" s="34">
        <f t="shared" si="21"/>
      </c>
      <c r="N99" s="52">
        <f t="shared" si="22"/>
      </c>
      <c r="O99" s="30">
        <f t="shared" si="23"/>
      </c>
      <c r="P99" s="1"/>
      <c r="Q99" s="1"/>
    </row>
    <row r="100" spans="2:17" ht="36" customHeight="1">
      <c r="B100" s="30">
        <f>_xlfn.IFERROR(IF(ISBLANK('Team Information Input'!A99),"",'Team Information Input'!A99),"")</f>
      </c>
      <c r="C100" s="31">
        <f>_xlfn.IFERROR(IF(ISBLANK('Team Information Input'!B99),"",'Team Information Input'!B99),"")</f>
      </c>
      <c r="D100" s="31"/>
      <c r="E100" s="32"/>
      <c r="F100" s="32"/>
      <c r="G100" s="32"/>
      <c r="H100" s="32">
        <f t="shared" si="17"/>
      </c>
      <c r="I100" s="32" t="str">
        <f t="shared" si="16"/>
        <v> </v>
      </c>
      <c r="J100" s="32">
        <f t="shared" si="18"/>
      </c>
      <c r="K100" s="48">
        <f t="shared" si="19"/>
      </c>
      <c r="L100" s="33">
        <f t="shared" si="20"/>
      </c>
      <c r="M100" s="34">
        <f t="shared" si="21"/>
      </c>
      <c r="N100" s="52">
        <f t="shared" si="22"/>
      </c>
      <c r="O100" s="30">
        <f t="shared" si="23"/>
      </c>
      <c r="P100" s="1"/>
      <c r="Q100" s="1"/>
    </row>
    <row r="101" spans="2:17" ht="36" customHeight="1">
      <c r="B101" s="30">
        <f>_xlfn.IFERROR(IF(ISBLANK('Team Information Input'!A85),"",'Team Information Input'!A85),"")</f>
      </c>
      <c r="C101" s="31">
        <f>_xlfn.IFERROR(IF(ISBLANK('Team Information Input'!B85),"",'Team Information Input'!B85),"")</f>
      </c>
      <c r="D101" s="31"/>
      <c r="E101" s="32"/>
      <c r="F101" s="32"/>
      <c r="G101" s="32"/>
      <c r="H101" s="32">
        <f t="shared" si="17"/>
      </c>
      <c r="I101" s="32" t="str">
        <f t="shared" si="16"/>
        <v> </v>
      </c>
      <c r="J101" s="32">
        <f t="shared" si="18"/>
      </c>
      <c r="K101" s="48">
        <f t="shared" si="19"/>
      </c>
      <c r="L101" s="33">
        <f t="shared" si="20"/>
      </c>
      <c r="M101" s="34">
        <f t="shared" si="21"/>
      </c>
      <c r="N101" s="52">
        <f t="shared" si="22"/>
      </c>
      <c r="O101" s="30">
        <f t="shared" si="23"/>
      </c>
      <c r="P101" s="1"/>
      <c r="Q101" s="1"/>
    </row>
    <row r="102" spans="2:17" ht="36" customHeight="1">
      <c r="B102" s="30">
        <f>_xlfn.IFERROR(IF(ISBLANK('Team Information Input'!A103),"",'Team Information Input'!A103),"")</f>
      </c>
      <c r="C102" s="31">
        <f>_xlfn.IFERROR(IF(ISBLANK('Team Information Input'!B103),"",'Team Information Input'!B103),"")</f>
      </c>
      <c r="D102" s="31"/>
      <c r="E102" s="32"/>
      <c r="F102" s="32"/>
      <c r="G102" s="32"/>
      <c r="H102" s="32">
        <f t="shared" si="17"/>
      </c>
      <c r="I102" s="32">
        <f>_xlfn.IFERROR(IF(COUNTA(E102:G102)=3,MEDIAN(E102:G102),""),"")</f>
      </c>
      <c r="J102" s="32">
        <f t="shared" si="18"/>
      </c>
      <c r="K102" s="48">
        <f t="shared" si="19"/>
      </c>
      <c r="L102" s="33">
        <f t="shared" si="20"/>
      </c>
      <c r="M102" s="34">
        <f t="shared" si="21"/>
      </c>
      <c r="N102" s="52">
        <f t="shared" si="22"/>
      </c>
      <c r="O102" s="30">
        <f t="shared" si="23"/>
      </c>
      <c r="P102" s="1"/>
      <c r="Q102" s="1"/>
    </row>
    <row r="103" spans="2:17" ht="36" customHeight="1">
      <c r="B103" s="30">
        <f>_xlfn.IFERROR(IF(ISBLANK('Team Information Input'!A86),"",'Team Information Input'!A86),"")</f>
      </c>
      <c r="C103" s="31">
        <f>_xlfn.IFERROR(IF(ISBLANK('Team Information Input'!B86),"",'Team Information Input'!B86),"")</f>
      </c>
      <c r="D103" s="31"/>
      <c r="E103" s="32"/>
      <c r="F103" s="32"/>
      <c r="G103" s="32"/>
      <c r="H103" s="32">
        <f aca="true" t="shared" si="24" ref="H103:H119">_xlfn.IFERROR(IF(COUNTA(E103:G103)&gt;1,MIN(E103:G103),""),"")</f>
      </c>
      <c r="I103" s="32" t="str">
        <f aca="true" t="shared" si="25" ref="I103:I119">_xlfn.IFERROR(IF(COUNTA(E103:G103)&gt;2,MEDIAN(E103:G103)," ")," ")</f>
        <v> </v>
      </c>
      <c r="J103" s="32">
        <f aca="true" t="shared" si="26" ref="J103:J119">_xlfn.IFERROR(IF(SUM(E103:G103)&gt;0,MAX(E103:G103),""),"")</f>
      </c>
      <c r="K103" s="48">
        <f aca="true" t="shared" si="27" ref="K103:K119">_xlfn.IFERROR(H103+I103*10000+J103*100000000,_xlfn.IFERROR(H103*10000+J103*100000000,_xlfn.IFERROR(J103*100000000,"")))</f>
      </c>
      <c r="L103" s="33">
        <f aca="true" t="shared" si="28" ref="L103:L119">_xlfn.IFERROR(IF(ISNUMBER(J103),RANK(K103,K$1:K$65536,0),""),"")</f>
      </c>
      <c r="M103" s="34">
        <f aca="true" t="shared" si="29" ref="M103:M119">_xlfn.IFERROR(IF(ISNUMBER(J103),L103/MAX($L:$L),""),"")</f>
      </c>
      <c r="N103" s="52">
        <f aca="true" t="shared" si="30" ref="N103:N119">IF(L103=1,"1st Place Robot Performance",IF(L103=2,"2nd Place Robot Performance",IF(L103=3,"3rd Place Robot Performance","")))</f>
      </c>
      <c r="O103" s="30">
        <f aca="true" t="shared" si="31" ref="O103:O119">B103</f>
      </c>
      <c r="P103" s="1"/>
      <c r="Q103" s="1"/>
    </row>
    <row r="104" spans="2:17" ht="36" customHeight="1">
      <c r="B104" s="30">
        <f>_xlfn.IFERROR(IF(ISBLANK('Team Information Input'!A100),"",'Team Information Input'!A100),"")</f>
      </c>
      <c r="C104" s="31">
        <f>_xlfn.IFERROR(IF(ISBLANK('Team Information Input'!B100),"",'Team Information Input'!B100),"")</f>
      </c>
      <c r="D104" s="31"/>
      <c r="E104" s="32"/>
      <c r="F104" s="32"/>
      <c r="G104" s="32"/>
      <c r="H104" s="32">
        <f t="shared" si="24"/>
      </c>
      <c r="I104" s="32" t="str">
        <f t="shared" si="25"/>
        <v> </v>
      </c>
      <c r="J104" s="32">
        <f t="shared" si="26"/>
      </c>
      <c r="K104" s="48">
        <f t="shared" si="27"/>
      </c>
      <c r="L104" s="33">
        <f t="shared" si="28"/>
      </c>
      <c r="M104" s="34">
        <f t="shared" si="29"/>
      </c>
      <c r="N104" s="52">
        <f t="shared" si="30"/>
      </c>
      <c r="O104" s="30">
        <f t="shared" si="31"/>
      </c>
      <c r="P104" s="1"/>
      <c r="Q104" s="1"/>
    </row>
    <row r="105" spans="2:17" ht="36" customHeight="1">
      <c r="B105" s="30">
        <f>_xlfn.IFERROR(IF(ISBLANK('Team Information Input'!A88),"",'Team Information Input'!A88),"")</f>
      </c>
      <c r="C105" s="31">
        <f>_xlfn.IFERROR(IF(ISBLANK('Team Information Input'!B88),"",'Team Information Input'!B88),"")</f>
      </c>
      <c r="D105" s="31"/>
      <c r="E105" s="32"/>
      <c r="F105" s="32"/>
      <c r="G105" s="32"/>
      <c r="H105" s="32">
        <f t="shared" si="24"/>
      </c>
      <c r="I105" s="32" t="str">
        <f t="shared" si="25"/>
        <v> </v>
      </c>
      <c r="J105" s="32">
        <f t="shared" si="26"/>
      </c>
      <c r="K105" s="48">
        <f t="shared" si="27"/>
      </c>
      <c r="L105" s="33">
        <f t="shared" si="28"/>
      </c>
      <c r="M105" s="34">
        <f t="shared" si="29"/>
      </c>
      <c r="N105" s="52">
        <f t="shared" si="30"/>
      </c>
      <c r="O105" s="30">
        <f t="shared" si="31"/>
      </c>
      <c r="P105" s="1"/>
      <c r="Q105" s="1"/>
    </row>
    <row r="106" spans="2:17" ht="36" customHeight="1">
      <c r="B106" s="30">
        <f>_xlfn.IFERROR(IF(ISBLANK('Team Information Input'!A89),"",'Team Information Input'!A89),"")</f>
      </c>
      <c r="C106" s="31">
        <f>_xlfn.IFERROR(IF(ISBLANK('Team Information Input'!B89),"",'Team Information Input'!B89),"")</f>
      </c>
      <c r="D106" s="31"/>
      <c r="E106" s="32"/>
      <c r="F106" s="32"/>
      <c r="G106" s="32"/>
      <c r="H106" s="32">
        <f t="shared" si="24"/>
      </c>
      <c r="I106" s="32" t="str">
        <f t="shared" si="25"/>
        <v> </v>
      </c>
      <c r="J106" s="32">
        <f t="shared" si="26"/>
      </c>
      <c r="K106" s="48">
        <f t="shared" si="27"/>
      </c>
      <c r="L106" s="33">
        <f t="shared" si="28"/>
      </c>
      <c r="M106" s="34">
        <f t="shared" si="29"/>
      </c>
      <c r="N106" s="52">
        <f t="shared" si="30"/>
      </c>
      <c r="O106" s="30">
        <f t="shared" si="31"/>
      </c>
      <c r="P106" s="1"/>
      <c r="Q106" s="1"/>
    </row>
    <row r="107" spans="2:17" ht="36" customHeight="1">
      <c r="B107" s="30">
        <f>_xlfn.IFERROR(IF(ISBLANK('Team Information Input'!A90),"",'Team Information Input'!A90),"")</f>
      </c>
      <c r="C107" s="31">
        <f>_xlfn.IFERROR(IF(ISBLANK('Team Information Input'!B90),"",'Team Information Input'!B90),"")</f>
      </c>
      <c r="D107" s="31"/>
      <c r="E107" s="32"/>
      <c r="F107" s="32"/>
      <c r="G107" s="32"/>
      <c r="H107" s="32">
        <f t="shared" si="24"/>
      </c>
      <c r="I107" s="32" t="str">
        <f t="shared" si="25"/>
        <v> </v>
      </c>
      <c r="J107" s="32">
        <f t="shared" si="26"/>
      </c>
      <c r="K107" s="48">
        <f t="shared" si="27"/>
      </c>
      <c r="L107" s="33">
        <f t="shared" si="28"/>
      </c>
      <c r="M107" s="34">
        <f t="shared" si="29"/>
      </c>
      <c r="N107" s="52">
        <f t="shared" si="30"/>
      </c>
      <c r="O107" s="30">
        <f t="shared" si="31"/>
      </c>
      <c r="P107" s="1"/>
      <c r="Q107" s="1"/>
    </row>
    <row r="108" spans="2:17" ht="36" customHeight="1">
      <c r="B108" s="30">
        <f>_xlfn.IFERROR(IF(ISBLANK('Team Information Input'!A92),"",'Team Information Input'!A92),"")</f>
      </c>
      <c r="C108" s="31">
        <f>_xlfn.IFERROR(IF(ISBLANK('Team Information Input'!B92),"",'Team Information Input'!B92),"")</f>
      </c>
      <c r="D108" s="31"/>
      <c r="E108" s="32"/>
      <c r="F108" s="32"/>
      <c r="G108" s="32"/>
      <c r="H108" s="32">
        <f t="shared" si="24"/>
      </c>
      <c r="I108" s="32" t="str">
        <f t="shared" si="25"/>
        <v> </v>
      </c>
      <c r="J108" s="32">
        <f t="shared" si="26"/>
      </c>
      <c r="K108" s="48">
        <f t="shared" si="27"/>
      </c>
      <c r="L108" s="33">
        <f t="shared" si="28"/>
      </c>
      <c r="M108" s="34">
        <f t="shared" si="29"/>
      </c>
      <c r="N108" s="52">
        <f t="shared" si="30"/>
      </c>
      <c r="O108" s="30">
        <f t="shared" si="31"/>
      </c>
      <c r="P108" s="1"/>
      <c r="Q108" s="1"/>
    </row>
    <row r="109" spans="2:17" ht="36" customHeight="1">
      <c r="B109" s="30">
        <f>_xlfn.IFERROR(IF(ISBLANK('Team Information Input'!A102),"",'Team Information Input'!A102),"")</f>
      </c>
      <c r="C109" s="31">
        <f>_xlfn.IFERROR(IF(ISBLANK('Team Information Input'!B102),"",'Team Information Input'!B102),"")</f>
      </c>
      <c r="D109" s="31"/>
      <c r="E109" s="32"/>
      <c r="F109" s="32"/>
      <c r="G109" s="32"/>
      <c r="H109" s="32">
        <f t="shared" si="24"/>
      </c>
      <c r="I109" s="32" t="str">
        <f t="shared" si="25"/>
        <v> </v>
      </c>
      <c r="J109" s="32">
        <f t="shared" si="26"/>
      </c>
      <c r="K109" s="48">
        <f t="shared" si="27"/>
      </c>
      <c r="L109" s="33">
        <f t="shared" si="28"/>
      </c>
      <c r="M109" s="34">
        <f t="shared" si="29"/>
      </c>
      <c r="N109" s="52">
        <f t="shared" si="30"/>
      </c>
      <c r="O109" s="30">
        <f t="shared" si="31"/>
      </c>
      <c r="P109" s="1"/>
      <c r="Q109" s="1"/>
    </row>
    <row r="110" spans="2:17" ht="36" customHeight="1">
      <c r="B110" s="30">
        <f>_xlfn.IFERROR(IF(ISBLANK('Team Information Input'!A105),"",'Team Information Input'!A105),"")</f>
      </c>
      <c r="C110" s="31">
        <f>_xlfn.IFERROR(IF(ISBLANK('Team Information Input'!B105),"",'Team Information Input'!B105),"")</f>
      </c>
      <c r="D110" s="31"/>
      <c r="E110" s="32"/>
      <c r="F110" s="32"/>
      <c r="G110" s="32"/>
      <c r="H110" s="32">
        <f t="shared" si="24"/>
      </c>
      <c r="I110" s="32" t="str">
        <f t="shared" si="25"/>
        <v> </v>
      </c>
      <c r="J110" s="32">
        <f t="shared" si="26"/>
      </c>
      <c r="K110" s="48">
        <f t="shared" si="27"/>
      </c>
      <c r="L110" s="33">
        <f t="shared" si="28"/>
      </c>
      <c r="M110" s="34">
        <f t="shared" si="29"/>
      </c>
      <c r="N110" s="52">
        <f t="shared" si="30"/>
      </c>
      <c r="O110" s="30">
        <f t="shared" si="31"/>
      </c>
      <c r="P110" s="1"/>
      <c r="Q110" s="1"/>
    </row>
    <row r="111" spans="2:17" ht="36" customHeight="1">
      <c r="B111" s="30">
        <f>_xlfn.IFERROR(IF(ISBLANK('Team Information Input'!A106),"",'Team Information Input'!A106),"")</f>
      </c>
      <c r="C111" s="31">
        <f>_xlfn.IFERROR(IF(ISBLANK('Team Information Input'!B106),"",'Team Information Input'!B106),"")</f>
      </c>
      <c r="D111" s="31"/>
      <c r="E111" s="32"/>
      <c r="F111" s="32"/>
      <c r="G111" s="32"/>
      <c r="H111" s="32">
        <f t="shared" si="24"/>
      </c>
      <c r="I111" s="32" t="str">
        <f t="shared" si="25"/>
        <v> </v>
      </c>
      <c r="J111" s="32">
        <f t="shared" si="26"/>
      </c>
      <c r="K111" s="48">
        <f t="shared" si="27"/>
      </c>
      <c r="L111" s="33">
        <f t="shared" si="28"/>
      </c>
      <c r="M111" s="34">
        <f t="shared" si="29"/>
      </c>
      <c r="N111" s="52">
        <f t="shared" si="30"/>
      </c>
      <c r="O111" s="30">
        <f t="shared" si="31"/>
      </c>
      <c r="P111" s="1"/>
      <c r="Q111" s="1"/>
    </row>
    <row r="112" spans="2:17" ht="36" customHeight="1">
      <c r="B112" s="30">
        <f>_xlfn.IFERROR(IF(ISBLANK('Team Information Input'!A107),"",'Team Information Input'!A107),"")</f>
      </c>
      <c r="C112" s="31">
        <f>_xlfn.IFERROR(IF(ISBLANK('Team Information Input'!B107),"",'Team Information Input'!B107),"")</f>
      </c>
      <c r="D112" s="31"/>
      <c r="E112" s="32"/>
      <c r="F112" s="32"/>
      <c r="G112" s="32"/>
      <c r="H112" s="32">
        <f t="shared" si="24"/>
      </c>
      <c r="I112" s="32" t="str">
        <f t="shared" si="25"/>
        <v> </v>
      </c>
      <c r="J112" s="32">
        <f t="shared" si="26"/>
      </c>
      <c r="K112" s="48">
        <f t="shared" si="27"/>
      </c>
      <c r="L112" s="33">
        <f t="shared" si="28"/>
      </c>
      <c r="M112" s="34">
        <f t="shared" si="29"/>
      </c>
      <c r="N112" s="52">
        <f t="shared" si="30"/>
      </c>
      <c r="O112" s="30">
        <f t="shared" si="31"/>
      </c>
      <c r="P112" s="1"/>
      <c r="Q112" s="1"/>
    </row>
    <row r="113" spans="2:17" ht="36" customHeight="1">
      <c r="B113" s="30">
        <f>_xlfn.IFERROR(IF(ISBLANK('Team Information Input'!A108),"",'Team Information Input'!A108),"")</f>
      </c>
      <c r="C113" s="31">
        <f>_xlfn.IFERROR(IF(ISBLANK('Team Information Input'!B108),"",'Team Information Input'!B108),"")</f>
      </c>
      <c r="D113" s="31"/>
      <c r="E113" s="32"/>
      <c r="F113" s="32"/>
      <c r="G113" s="32"/>
      <c r="H113" s="32">
        <f t="shared" si="24"/>
      </c>
      <c r="I113" s="32" t="str">
        <f t="shared" si="25"/>
        <v> </v>
      </c>
      <c r="J113" s="32">
        <f t="shared" si="26"/>
      </c>
      <c r="K113" s="48">
        <f t="shared" si="27"/>
      </c>
      <c r="L113" s="33">
        <f t="shared" si="28"/>
      </c>
      <c r="M113" s="34">
        <f t="shared" si="29"/>
      </c>
      <c r="N113" s="52">
        <f t="shared" si="30"/>
      </c>
      <c r="O113" s="30">
        <f t="shared" si="31"/>
      </c>
      <c r="P113" s="1"/>
      <c r="Q113" s="1"/>
    </row>
    <row r="114" spans="2:17" ht="36" customHeight="1">
      <c r="B114" s="30">
        <f>_xlfn.IFERROR(IF(ISBLANK('Team Information Input'!A109),"",'Team Information Input'!A109),"")</f>
      </c>
      <c r="C114" s="31">
        <f>_xlfn.IFERROR(IF(ISBLANK('Team Information Input'!B109),"",'Team Information Input'!B109),"")</f>
      </c>
      <c r="D114" s="31"/>
      <c r="E114" s="32"/>
      <c r="F114" s="32"/>
      <c r="G114" s="32"/>
      <c r="H114" s="32">
        <f t="shared" si="24"/>
      </c>
      <c r="I114" s="32" t="str">
        <f t="shared" si="25"/>
        <v> </v>
      </c>
      <c r="J114" s="32">
        <f t="shared" si="26"/>
      </c>
      <c r="K114" s="48">
        <f t="shared" si="27"/>
      </c>
      <c r="L114" s="33">
        <f t="shared" si="28"/>
      </c>
      <c r="M114" s="34">
        <f t="shared" si="29"/>
      </c>
      <c r="N114" s="52">
        <f t="shared" si="30"/>
      </c>
      <c r="O114" s="30">
        <f t="shared" si="31"/>
      </c>
      <c r="P114" s="1"/>
      <c r="Q114" s="1"/>
    </row>
    <row r="115" spans="2:17" ht="36" customHeight="1">
      <c r="B115" s="30">
        <f>_xlfn.IFERROR(IF(ISBLANK('Team Information Input'!A110),"",'Team Information Input'!A110),"")</f>
      </c>
      <c r="C115" s="31">
        <f>_xlfn.IFERROR(IF(ISBLANK('Team Information Input'!B110),"",'Team Information Input'!B110),"")</f>
      </c>
      <c r="D115" s="31"/>
      <c r="E115" s="32"/>
      <c r="F115" s="32"/>
      <c r="G115" s="32"/>
      <c r="H115" s="32">
        <f t="shared" si="24"/>
      </c>
      <c r="I115" s="32" t="str">
        <f t="shared" si="25"/>
        <v> </v>
      </c>
      <c r="J115" s="32">
        <f t="shared" si="26"/>
      </c>
      <c r="K115" s="48">
        <f t="shared" si="27"/>
      </c>
      <c r="L115" s="33">
        <f t="shared" si="28"/>
      </c>
      <c r="M115" s="34">
        <f t="shared" si="29"/>
      </c>
      <c r="N115" s="52">
        <f t="shared" si="30"/>
      </c>
      <c r="O115" s="30">
        <f t="shared" si="31"/>
      </c>
      <c r="P115" s="1"/>
      <c r="Q115" s="1"/>
    </row>
    <row r="116" spans="2:17" ht="36" customHeight="1">
      <c r="B116" s="30">
        <f>_xlfn.IFERROR(IF(ISBLANK('Team Information Input'!A111),"",'Team Information Input'!A111),"")</f>
      </c>
      <c r="C116" s="31">
        <f>_xlfn.IFERROR(IF(ISBLANK('Team Information Input'!B111),"",'Team Information Input'!B111),"")</f>
      </c>
      <c r="D116" s="31"/>
      <c r="E116" s="32"/>
      <c r="F116" s="32"/>
      <c r="G116" s="32"/>
      <c r="H116" s="32">
        <f t="shared" si="24"/>
      </c>
      <c r="I116" s="32" t="str">
        <f t="shared" si="25"/>
        <v> </v>
      </c>
      <c r="J116" s="32">
        <f t="shared" si="26"/>
      </c>
      <c r="K116" s="48">
        <f t="shared" si="27"/>
      </c>
      <c r="L116" s="33">
        <f t="shared" si="28"/>
      </c>
      <c r="M116" s="34">
        <f t="shared" si="29"/>
      </c>
      <c r="N116" s="52">
        <f t="shared" si="30"/>
      </c>
      <c r="O116" s="30">
        <f t="shared" si="31"/>
      </c>
      <c r="P116" s="1"/>
      <c r="Q116" s="1"/>
    </row>
    <row r="117" spans="2:17" ht="36" customHeight="1">
      <c r="B117" s="30">
        <f>_xlfn.IFERROR(IF(ISBLANK('Team Information Input'!A112),"",'Team Information Input'!A112),"")</f>
      </c>
      <c r="C117" s="31">
        <f>_xlfn.IFERROR(IF(ISBLANK('Team Information Input'!B112),"",'Team Information Input'!B112),"")</f>
      </c>
      <c r="D117" s="31"/>
      <c r="E117" s="32"/>
      <c r="F117" s="32"/>
      <c r="G117" s="32"/>
      <c r="H117" s="32">
        <f t="shared" si="24"/>
      </c>
      <c r="I117" s="32" t="str">
        <f t="shared" si="25"/>
        <v> </v>
      </c>
      <c r="J117" s="32">
        <f t="shared" si="26"/>
      </c>
      <c r="K117" s="48">
        <f t="shared" si="27"/>
      </c>
      <c r="L117" s="33">
        <f t="shared" si="28"/>
      </c>
      <c r="M117" s="34">
        <f t="shared" si="29"/>
      </c>
      <c r="N117" s="52">
        <f t="shared" si="30"/>
      </c>
      <c r="O117" s="30">
        <f t="shared" si="31"/>
      </c>
      <c r="P117" s="1"/>
      <c r="Q117" s="1"/>
    </row>
    <row r="118" spans="2:17" ht="36" customHeight="1">
      <c r="B118" s="30">
        <f>_xlfn.IFERROR(IF(ISBLANK('Team Information Input'!A113),"",'Team Information Input'!A113),"")</f>
      </c>
      <c r="C118" s="31">
        <f>_xlfn.IFERROR(IF(ISBLANK('Team Information Input'!B113),"",'Team Information Input'!B113),"")</f>
      </c>
      <c r="D118" s="31"/>
      <c r="E118" s="32"/>
      <c r="F118" s="32"/>
      <c r="G118" s="32"/>
      <c r="H118" s="32">
        <f t="shared" si="24"/>
      </c>
      <c r="I118" s="32" t="str">
        <f t="shared" si="25"/>
        <v> </v>
      </c>
      <c r="J118" s="32">
        <f t="shared" si="26"/>
      </c>
      <c r="K118" s="48">
        <f t="shared" si="27"/>
      </c>
      <c r="L118" s="33">
        <f t="shared" si="28"/>
      </c>
      <c r="M118" s="34">
        <f t="shared" si="29"/>
      </c>
      <c r="N118" s="52">
        <f t="shared" si="30"/>
      </c>
      <c r="O118" s="30">
        <f t="shared" si="31"/>
      </c>
      <c r="P118" s="1"/>
      <c r="Q118" s="1"/>
    </row>
    <row r="119" spans="2:17" ht="36" customHeight="1">
      <c r="B119" s="30">
        <f>_xlfn.IFERROR(IF(ISBLANK('Team Information Input'!A114),"",'Team Information Input'!A114),"")</f>
      </c>
      <c r="C119" s="31">
        <f>_xlfn.IFERROR(IF(ISBLANK('Team Information Input'!B114),"",'Team Information Input'!B114),"")</f>
      </c>
      <c r="D119" s="31"/>
      <c r="E119" s="32"/>
      <c r="F119" s="32"/>
      <c r="G119" s="32"/>
      <c r="H119" s="32">
        <f t="shared" si="24"/>
      </c>
      <c r="I119" s="32" t="str">
        <f t="shared" si="25"/>
        <v> </v>
      </c>
      <c r="J119" s="32">
        <f t="shared" si="26"/>
      </c>
      <c r="K119" s="48">
        <f t="shared" si="27"/>
      </c>
      <c r="L119" s="33">
        <f t="shared" si="28"/>
      </c>
      <c r="M119" s="34">
        <f t="shared" si="29"/>
      </c>
      <c r="N119" s="52">
        <f t="shared" si="30"/>
      </c>
      <c r="O119" s="30">
        <f t="shared" si="31"/>
      </c>
      <c r="P119" s="1"/>
      <c r="Q119" s="1"/>
    </row>
  </sheetData>
  <sheetProtection formatCells="0" formatColumns="0" formatRows="0" sort="0" autoFilter="0"/>
  <mergeCells count="1">
    <mergeCell ref="E5:M5"/>
  </mergeCells>
  <conditionalFormatting sqref="H7:H119">
    <cfRule type="containsText" priority="2" dxfId="29" operator="containsText" stopIfTrue="1" text=" ">
      <formula>NOT(ISERROR(SEARCH(" ",H7)))</formula>
    </cfRule>
  </conditionalFormatting>
  <conditionalFormatting sqref="K7:K119">
    <cfRule type="colorScale" priority="1234" dxfId="2">
      <colorScale>
        <cfvo type="min" val="0"/>
        <cfvo type="percentile" val="50"/>
        <cfvo type="max"/>
        <color rgb="FFF8696B"/>
        <color rgb="FFFFEB84"/>
        <color rgb="FF5A8AC6"/>
      </colorScale>
    </cfRule>
  </conditionalFormatting>
  <conditionalFormatting sqref="L7:L119">
    <cfRule type="top10" priority="1236" dxfId="45" stopIfTrue="1" rank="1" bottom="1"/>
    <cfRule type="colorScale" priority="1237" dxfId="2">
      <colorScale>
        <cfvo type="min" val="0"/>
        <cfvo type="percentile" val="50"/>
        <cfvo type="max"/>
        <color rgb="FF5A8AC6"/>
        <color rgb="FFFFEB84"/>
        <color rgb="FFF8696B"/>
      </colorScale>
    </cfRule>
  </conditionalFormatting>
  <conditionalFormatting sqref="H7:J119">
    <cfRule type="colorScale" priority="1240" dxfId="2">
      <colorScale>
        <cfvo type="min" val="0"/>
        <cfvo type="percentile" val="50"/>
        <cfvo type="max"/>
        <color rgb="FFF8696B"/>
        <color rgb="FFFFEB84"/>
        <color theme="3" tint="0.39998000860214233"/>
      </colorScale>
    </cfRule>
  </conditionalFormatting>
  <conditionalFormatting sqref="N1:N5 N7:N65536">
    <cfRule type="notContainsBlanks" priority="1244" dxfId="27" stopIfTrue="1">
      <formula>LEN(TRIM(N1))&gt;0</formula>
    </cfRule>
  </conditionalFormatting>
  <dataValidations count="2">
    <dataValidation allowBlank="1" showErrorMessage="1" promptTitle="Robot Round Score" prompt="Enter the score for each round of the robot game here." errorTitle="Too Big" error="The robot game score needs to be between 0 and 400. Please retry." sqref="H2:N3 H4:K4"/>
    <dataValidation errorStyle="warning" type="whole" operator="lessThanOrEqual" allowBlank="1" showInputMessage="1" showErrorMessage="1" promptTitle="Score Entry" prompt="Enter the scores from the robot game." errorTitle="Too Large" error="Are  you sure of this entry?" sqref="F1:G4 E1:E6 F6:G6 E7:G65536">
      <formula1>1000</formula1>
    </dataValidation>
  </dataValidations>
  <printOptions horizontalCentered="1"/>
  <pageMargins left="0.25" right="0.25" top="0.87" bottom="0.52" header="0.5" footer="0.3"/>
  <pageSetup fitToHeight="0" fitToWidth="1" horizontalDpi="600" verticalDpi="600" orientation="portrait" scale="94" r:id="rId3"/>
  <headerFooter scaleWithDoc="0">
    <oddHeader>&amp;L&amp;14&amp;A&amp;R&amp;D</oddHeader>
    <oddFooter>&amp;L&amp;F&amp;R&amp;P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B2:G51"/>
  <sheetViews>
    <sheetView showGridLines="0" zoomScalePageLayoutView="0" workbookViewId="0" topLeftCell="A1">
      <selection activeCell="H39" sqref="H39"/>
    </sheetView>
  </sheetViews>
  <sheetFormatPr defaultColWidth="9.140625" defaultRowHeight="12.75"/>
  <cols>
    <col min="1" max="1" width="3.28125" style="80" customWidth="1"/>
    <col min="2" max="2" width="11.28125" style="80" customWidth="1"/>
    <col min="3" max="3" width="36.28125" style="80" customWidth="1"/>
    <col min="4" max="4" width="23.57421875" style="80" bestFit="1" customWidth="1"/>
    <col min="5" max="5" width="3.7109375" style="80" customWidth="1"/>
    <col min="6" max="6" width="7.28125" style="80" bestFit="1" customWidth="1"/>
    <col min="7" max="7" width="18.28125" style="80" bestFit="1" customWidth="1"/>
    <col min="8" max="16384" width="9.140625" style="80" customWidth="1"/>
  </cols>
  <sheetData>
    <row r="2" spans="2:4" ht="15">
      <c r="B2" s="112" t="s">
        <v>476</v>
      </c>
      <c r="C2" s="113"/>
      <c r="D2" s="114"/>
    </row>
    <row r="3" spans="2:4" ht="30">
      <c r="B3" s="83" t="s">
        <v>115</v>
      </c>
      <c r="C3" s="84" t="s">
        <v>447</v>
      </c>
      <c r="D3" s="84" t="s">
        <v>446</v>
      </c>
    </row>
    <row r="4" spans="2:4" ht="12.75" customHeight="1">
      <c r="B4" s="81" t="s">
        <v>53</v>
      </c>
      <c r="C4" s="82" t="s">
        <v>57</v>
      </c>
      <c r="D4" s="82" t="s">
        <v>465</v>
      </c>
    </row>
    <row r="5" spans="2:4" ht="12.75">
      <c r="B5" s="81" t="s">
        <v>54</v>
      </c>
      <c r="C5" s="82" t="s">
        <v>58</v>
      </c>
      <c r="D5" s="82" t="s">
        <v>465</v>
      </c>
    </row>
    <row r="6" spans="2:4" ht="12.75">
      <c r="B6" s="81" t="s">
        <v>55</v>
      </c>
      <c r="C6" s="82" t="s">
        <v>59</v>
      </c>
      <c r="D6" s="82" t="s">
        <v>465</v>
      </c>
    </row>
    <row r="7" spans="2:4" ht="12.75">
      <c r="B7" s="81" t="s">
        <v>56</v>
      </c>
      <c r="C7" s="82" t="s">
        <v>60</v>
      </c>
      <c r="D7" s="82" t="s">
        <v>465</v>
      </c>
    </row>
    <row r="8" spans="2:4" ht="12.75">
      <c r="B8" s="81" t="s">
        <v>120</v>
      </c>
      <c r="C8" s="82" t="s">
        <v>124</v>
      </c>
      <c r="D8" s="82" t="s">
        <v>467</v>
      </c>
    </row>
    <row r="10" spans="2:4" ht="15">
      <c r="B10" s="112" t="s">
        <v>478</v>
      </c>
      <c r="C10" s="113"/>
      <c r="D10" s="114"/>
    </row>
    <row r="11" spans="2:7" ht="30">
      <c r="B11" s="83" t="s">
        <v>115</v>
      </c>
      <c r="C11" s="84" t="s">
        <v>447</v>
      </c>
      <c r="D11" s="84" t="s">
        <v>446</v>
      </c>
      <c r="F11" s="83" t="s">
        <v>157</v>
      </c>
      <c r="G11" s="84" t="s">
        <v>163</v>
      </c>
    </row>
    <row r="12" spans="2:7" ht="12.75">
      <c r="B12" s="81" t="s">
        <v>463</v>
      </c>
      <c r="C12" s="82" t="s">
        <v>458</v>
      </c>
      <c r="D12" s="82"/>
      <c r="F12" s="75" t="s">
        <v>142</v>
      </c>
      <c r="G12" s="85" t="s">
        <v>41</v>
      </c>
    </row>
    <row r="13" spans="2:7" ht="12.75">
      <c r="B13" s="81" t="s">
        <v>81</v>
      </c>
      <c r="C13" s="82" t="s">
        <v>52</v>
      </c>
      <c r="D13" s="82"/>
      <c r="F13" s="75" t="s">
        <v>143</v>
      </c>
      <c r="G13" s="85" t="s">
        <v>41</v>
      </c>
    </row>
    <row r="14" spans="2:7" ht="12.75">
      <c r="B14" s="81" t="s">
        <v>80</v>
      </c>
      <c r="C14" s="82" t="s">
        <v>109</v>
      </c>
      <c r="D14" s="82"/>
      <c r="F14" s="75" t="s">
        <v>144</v>
      </c>
      <c r="G14" s="85" t="s">
        <v>41</v>
      </c>
    </row>
    <row r="15" spans="2:7" ht="12.75">
      <c r="B15" s="81" t="s">
        <v>79</v>
      </c>
      <c r="C15" s="82" t="s">
        <v>110</v>
      </c>
      <c r="D15" s="82"/>
      <c r="F15" s="75" t="s">
        <v>145</v>
      </c>
      <c r="G15" s="85" t="s">
        <v>41</v>
      </c>
    </row>
    <row r="16" spans="2:7" ht="12.75">
      <c r="B16" s="81" t="s">
        <v>116</v>
      </c>
      <c r="C16" s="82" t="s">
        <v>108</v>
      </c>
      <c r="D16" s="82"/>
      <c r="F16" s="75" t="s">
        <v>146</v>
      </c>
      <c r="G16" s="85" t="s">
        <v>41</v>
      </c>
    </row>
    <row r="17" spans="2:7" ht="12.75">
      <c r="B17" s="81" t="s">
        <v>464</v>
      </c>
      <c r="C17" s="82" t="s">
        <v>461</v>
      </c>
      <c r="D17" s="82"/>
      <c r="F17" s="75" t="s">
        <v>147</v>
      </c>
      <c r="G17" s="85" t="s">
        <v>41</v>
      </c>
    </row>
    <row r="18" spans="2:7" ht="12.75">
      <c r="B18" s="81" t="s">
        <v>94</v>
      </c>
      <c r="C18" s="82" t="s">
        <v>107</v>
      </c>
      <c r="D18" s="82"/>
      <c r="F18" s="75" t="s">
        <v>148</v>
      </c>
      <c r="G18" s="85" t="s">
        <v>41</v>
      </c>
    </row>
    <row r="19" spans="2:7" ht="12.75">
      <c r="B19" s="81" t="s">
        <v>95</v>
      </c>
      <c r="C19" s="82" t="s">
        <v>106</v>
      </c>
      <c r="D19" s="82"/>
      <c r="F19" s="75" t="s">
        <v>158</v>
      </c>
      <c r="G19" s="85" t="s">
        <v>42</v>
      </c>
    </row>
    <row r="20" spans="2:7" ht="12.75">
      <c r="B20" s="81" t="s">
        <v>96</v>
      </c>
      <c r="C20" s="82" t="s">
        <v>114</v>
      </c>
      <c r="D20" s="82"/>
      <c r="F20" s="75" t="s">
        <v>159</v>
      </c>
      <c r="G20" s="85" t="s">
        <v>42</v>
      </c>
    </row>
    <row r="21" spans="2:7" ht="12.75">
      <c r="B21" s="81" t="s">
        <v>171</v>
      </c>
      <c r="C21" s="82" t="s">
        <v>227</v>
      </c>
      <c r="D21" s="82"/>
      <c r="F21" s="21"/>
      <c r="G21" s="21"/>
    </row>
    <row r="22" spans="2:7" ht="12.75">
      <c r="B22" s="81" t="s">
        <v>172</v>
      </c>
      <c r="C22" s="82" t="s">
        <v>228</v>
      </c>
      <c r="D22" s="82"/>
      <c r="F22" s="21"/>
      <c r="G22" s="21"/>
    </row>
    <row r="23" spans="6:7" ht="12.75">
      <c r="F23" s="21"/>
      <c r="G23" s="21"/>
    </row>
    <row r="24" spans="2:7" ht="15">
      <c r="B24" s="112" t="s">
        <v>477</v>
      </c>
      <c r="C24" s="113"/>
      <c r="D24" s="114"/>
      <c r="F24" s="21"/>
      <c r="G24" s="21"/>
    </row>
    <row r="25" spans="2:7" ht="12.75">
      <c r="B25" s="81" t="s">
        <v>120</v>
      </c>
      <c r="C25" s="82" t="s">
        <v>124</v>
      </c>
      <c r="D25" s="82" t="s">
        <v>467</v>
      </c>
      <c r="F25" s="21"/>
      <c r="G25" s="21"/>
    </row>
    <row r="26" spans="2:7" ht="12.75">
      <c r="B26" s="81" t="s">
        <v>121</v>
      </c>
      <c r="C26" s="82" t="s">
        <v>125</v>
      </c>
      <c r="D26" s="82" t="s">
        <v>467</v>
      </c>
      <c r="F26" s="21"/>
      <c r="G26" s="21"/>
    </row>
    <row r="27" spans="2:7" ht="12.75">
      <c r="B27" s="81" t="s">
        <v>122</v>
      </c>
      <c r="C27" s="82" t="s">
        <v>126</v>
      </c>
      <c r="D27" s="82" t="s">
        <v>467</v>
      </c>
      <c r="F27" s="21"/>
      <c r="G27" s="21"/>
    </row>
    <row r="28" spans="2:7" ht="12.75">
      <c r="B28" s="81" t="s">
        <v>82</v>
      </c>
      <c r="C28" s="82" t="s">
        <v>97</v>
      </c>
      <c r="D28" s="82" t="s">
        <v>466</v>
      </c>
      <c r="F28" s="21"/>
      <c r="G28" s="21"/>
    </row>
    <row r="29" spans="2:7" ht="12.75">
      <c r="B29" s="81" t="s">
        <v>83</v>
      </c>
      <c r="C29" s="82" t="s">
        <v>101</v>
      </c>
      <c r="D29" s="82" t="s">
        <v>466</v>
      </c>
      <c r="F29" s="21"/>
      <c r="G29" s="21"/>
    </row>
    <row r="30" spans="2:7" ht="12.75">
      <c r="B30" s="81" t="s">
        <v>84</v>
      </c>
      <c r="C30" s="82" t="s">
        <v>102</v>
      </c>
      <c r="D30" s="82" t="s">
        <v>466</v>
      </c>
      <c r="F30" s="21"/>
      <c r="G30" s="21"/>
    </row>
    <row r="31" spans="2:7" ht="12.75">
      <c r="B31" s="81" t="s">
        <v>85</v>
      </c>
      <c r="C31" s="82" t="s">
        <v>98</v>
      </c>
      <c r="D31" s="82" t="s">
        <v>466</v>
      </c>
      <c r="F31" s="21"/>
      <c r="G31" s="21"/>
    </row>
    <row r="32" spans="2:7" ht="12.75">
      <c r="B32" s="81" t="s">
        <v>86</v>
      </c>
      <c r="C32" s="82" t="s">
        <v>103</v>
      </c>
      <c r="D32" s="82" t="s">
        <v>466</v>
      </c>
      <c r="F32" s="21"/>
      <c r="G32" s="21"/>
    </row>
    <row r="33" spans="2:7" ht="12.75">
      <c r="B33" s="81" t="s">
        <v>87</v>
      </c>
      <c r="C33" s="82" t="s">
        <v>111</v>
      </c>
      <c r="D33" s="82" t="s">
        <v>466</v>
      </c>
      <c r="F33" s="21"/>
      <c r="G33" s="21"/>
    </row>
    <row r="34" spans="2:7" ht="12.75">
      <c r="B34" s="81" t="s">
        <v>66</v>
      </c>
      <c r="C34" s="82" t="s">
        <v>69</v>
      </c>
      <c r="D34" s="82" t="s">
        <v>466</v>
      </c>
      <c r="F34" s="21"/>
      <c r="G34" s="21"/>
    </row>
    <row r="35" spans="2:7" ht="12.75">
      <c r="B35" s="81" t="s">
        <v>67</v>
      </c>
      <c r="C35" s="82" t="s">
        <v>68</v>
      </c>
      <c r="D35" s="82" t="s">
        <v>466</v>
      </c>
      <c r="F35" s="21"/>
      <c r="G35" s="21"/>
    </row>
    <row r="36" spans="2:7" ht="12.75">
      <c r="B36" s="81" t="s">
        <v>71</v>
      </c>
      <c r="C36" s="82" t="s">
        <v>72</v>
      </c>
      <c r="D36" s="82" t="s">
        <v>466</v>
      </c>
      <c r="F36" s="21"/>
      <c r="G36" s="21"/>
    </row>
    <row r="37" spans="2:7" ht="12.75">
      <c r="B37" s="81" t="s">
        <v>88</v>
      </c>
      <c r="C37" s="82" t="s">
        <v>99</v>
      </c>
      <c r="D37" s="82" t="s">
        <v>466</v>
      </c>
      <c r="F37" s="21"/>
      <c r="G37" s="21"/>
    </row>
    <row r="38" spans="2:7" ht="12.75">
      <c r="B38" s="81" t="s">
        <v>89</v>
      </c>
      <c r="C38" s="82" t="s">
        <v>104</v>
      </c>
      <c r="D38" s="82" t="s">
        <v>466</v>
      </c>
      <c r="F38" s="21"/>
      <c r="G38" s="21"/>
    </row>
    <row r="39" spans="2:7" ht="12.75">
      <c r="B39" s="81" t="s">
        <v>90</v>
      </c>
      <c r="C39" s="82" t="s">
        <v>112</v>
      </c>
      <c r="D39" s="82" t="s">
        <v>466</v>
      </c>
      <c r="F39" s="21"/>
      <c r="G39" s="21"/>
    </row>
    <row r="40" spans="2:7" ht="12.75">
      <c r="B40" s="81" t="s">
        <v>73</v>
      </c>
      <c r="C40" s="82" t="s">
        <v>74</v>
      </c>
      <c r="D40" s="82" t="s">
        <v>466</v>
      </c>
      <c r="F40" s="21"/>
      <c r="G40" s="21"/>
    </row>
    <row r="41" spans="2:7" ht="12.75">
      <c r="B41" s="81" t="s">
        <v>75</v>
      </c>
      <c r="C41" s="82" t="s">
        <v>76</v>
      </c>
      <c r="D41" s="82" t="s">
        <v>466</v>
      </c>
      <c r="F41" s="21"/>
      <c r="G41" s="21"/>
    </row>
    <row r="42" spans="2:7" ht="12.75">
      <c r="B42" s="81" t="s">
        <v>77</v>
      </c>
      <c r="C42" s="82" t="s">
        <v>78</v>
      </c>
      <c r="D42" s="82" t="s">
        <v>466</v>
      </c>
      <c r="F42" s="21"/>
      <c r="G42" s="21"/>
    </row>
    <row r="43" spans="2:7" ht="12.75">
      <c r="B43" s="81" t="s">
        <v>91</v>
      </c>
      <c r="C43" s="82" t="s">
        <v>100</v>
      </c>
      <c r="D43" s="82" t="s">
        <v>466</v>
      </c>
      <c r="F43" s="21"/>
      <c r="G43" s="21"/>
    </row>
    <row r="44" spans="2:7" ht="12.75">
      <c r="B44" s="81" t="s">
        <v>92</v>
      </c>
      <c r="C44" s="82" t="s">
        <v>105</v>
      </c>
      <c r="D44" s="82" t="s">
        <v>466</v>
      </c>
      <c r="F44" s="21"/>
      <c r="G44" s="21"/>
    </row>
    <row r="45" spans="2:7" ht="12.75">
      <c r="B45" s="81" t="s">
        <v>93</v>
      </c>
      <c r="C45" s="82" t="s">
        <v>113</v>
      </c>
      <c r="D45" s="82" t="s">
        <v>466</v>
      </c>
      <c r="F45" s="21"/>
      <c r="G45" s="21"/>
    </row>
    <row r="46" spans="2:7" ht="12.75">
      <c r="B46" s="81" t="s">
        <v>61</v>
      </c>
      <c r="C46" s="82" t="s">
        <v>62</v>
      </c>
      <c r="D46" s="82" t="s">
        <v>466</v>
      </c>
      <c r="F46" s="21"/>
      <c r="G46" s="21"/>
    </row>
    <row r="47" spans="2:7" ht="12.75">
      <c r="B47" s="81" t="s">
        <v>63</v>
      </c>
      <c r="C47" s="82" t="s">
        <v>64</v>
      </c>
      <c r="D47" s="82" t="s">
        <v>466</v>
      </c>
      <c r="F47" s="21"/>
      <c r="G47" s="21"/>
    </row>
    <row r="48" spans="2:7" ht="12.75">
      <c r="B48" s="81" t="s">
        <v>65</v>
      </c>
      <c r="C48" s="82" t="s">
        <v>70</v>
      </c>
      <c r="D48" s="82" t="s">
        <v>466</v>
      </c>
      <c r="F48" s="21"/>
      <c r="G48" s="21"/>
    </row>
    <row r="49" spans="2:4" ht="12.75">
      <c r="B49" s="81" t="s">
        <v>120</v>
      </c>
      <c r="C49" s="82" t="s">
        <v>124</v>
      </c>
      <c r="D49" s="82" t="s">
        <v>466</v>
      </c>
    </row>
    <row r="50" spans="2:4" ht="12.75">
      <c r="B50" s="81" t="s">
        <v>121</v>
      </c>
      <c r="C50" s="82" t="s">
        <v>125</v>
      </c>
      <c r="D50" s="82" t="s">
        <v>466</v>
      </c>
    </row>
    <row r="51" spans="2:4" ht="12.75">
      <c r="B51" s="81" t="s">
        <v>122</v>
      </c>
      <c r="C51" s="82" t="s">
        <v>126</v>
      </c>
      <c r="D51" s="82" t="s">
        <v>466</v>
      </c>
    </row>
  </sheetData>
  <sheetProtection/>
  <mergeCells count="3">
    <mergeCell ref="B2:D2"/>
    <mergeCell ref="B10:D10"/>
    <mergeCell ref="B24:D24"/>
  </mergeCells>
  <conditionalFormatting sqref="F12:F20 B12:D22 B4:D8 B25:D51">
    <cfRule type="notContainsBlanks" priority="15" dxfId="45">
      <formula>LEN(TRIM(B4))&gt;0</formula>
    </cfRule>
  </conditionalFormatting>
  <printOptions/>
  <pageMargins left="0.7" right="0.7" top="0.75" bottom="0.75" header="0.3" footer="0.3"/>
  <pageSetup blackAndWhite="1" fitToHeight="1" fitToWidth="1" horizontalDpi="600" verticalDpi="600" orientation="landscape" r:id="rId1"/>
  <headerFooter>
    <oddHeader>&amp;L&amp;A&amp;R&amp;D</oddHead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B2:F174"/>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12" sqref="E12"/>
    </sheetView>
  </sheetViews>
  <sheetFormatPr defaultColWidth="9.140625" defaultRowHeight="12.75" outlineLevelRow="1"/>
  <cols>
    <col min="1" max="1" width="3.57421875" style="0" customWidth="1"/>
    <col min="2" max="2" width="7.28125" style="59" bestFit="1" customWidth="1"/>
    <col min="3" max="3" width="35.421875" style="0" bestFit="1" customWidth="1"/>
    <col min="4" max="4" width="13.00390625" style="62" customWidth="1"/>
    <col min="5" max="5" width="39.140625" style="0" customWidth="1"/>
    <col min="6" max="6" width="35.8515625" style="0" customWidth="1"/>
  </cols>
  <sheetData>
    <row r="2" spans="2:6" ht="24">
      <c r="B2" s="72" t="s">
        <v>50</v>
      </c>
      <c r="C2" s="73" t="s">
        <v>51</v>
      </c>
      <c r="D2" s="74" t="s">
        <v>127</v>
      </c>
      <c r="E2" s="73" t="s">
        <v>28</v>
      </c>
      <c r="F2" s="73" t="s">
        <v>38</v>
      </c>
    </row>
    <row r="3" spans="2:6" ht="12.75">
      <c r="B3" s="75" t="s">
        <v>120</v>
      </c>
      <c r="C3" s="76" t="s">
        <v>123</v>
      </c>
      <c r="D3" s="76">
        <f>_xlfn.IFERROR(VLOOKUP(1,'Robot Performance Analysis'!L7:O119,4,FALSE),"")</f>
      </c>
      <c r="E3" s="76">
        <f>_xlfn.IFERROR(VLOOKUP(D3,'Team Information Input'!$A$2:$E$114,2,FALSE),"")</f>
      </c>
      <c r="F3" s="76">
        <f>_xlfn.IFERROR(IF(VLOOKUP(D3,'Team Information Input'!$A$2:$E$114,5,FALSE)=0,"",VLOOKUP(D3,'Team Information Input'!$A$2:$E$114,5,FALSE)),"")</f>
      </c>
    </row>
    <row r="4" spans="2:6" ht="12.75">
      <c r="B4" s="75" t="s">
        <v>53</v>
      </c>
      <c r="C4" s="76" t="s">
        <v>57</v>
      </c>
      <c r="D4" s="76">
        <f>_xlfn.IFERROR(VLOOKUP(B4,'Judged Area Analysis'!T$9:X$121,5,FALSE),"")</f>
      </c>
      <c r="E4" s="76">
        <f>_xlfn.IFERROR(VLOOKUP(D4,'Team Information Input'!$A$2:$E$114,2,FALSE),"")</f>
      </c>
      <c r="F4" s="76">
        <f>_xlfn.IFERROR(IF(VLOOKUP(D4,'Team Information Input'!$A$2:$E$114,5,FALSE)=0,"",VLOOKUP(D4,'Team Information Input'!$A$2:$E$114,5,FALSE)),"")</f>
      </c>
    </row>
    <row r="5" spans="2:6" ht="12.75">
      <c r="B5" s="75" t="s">
        <v>54</v>
      </c>
      <c r="C5" s="76" t="s">
        <v>58</v>
      </c>
      <c r="D5" s="76">
        <f>_xlfn.IFERROR(VLOOKUP(B5,'Judged Area Analysis'!T$9:X$121,5,FALSE),"")</f>
      </c>
      <c r="E5" s="76">
        <f>_xlfn.IFERROR(VLOOKUP(D5,'Team Information Input'!$A$2:$E$114,2,FALSE),"")</f>
      </c>
      <c r="F5" s="76">
        <f>_xlfn.IFERROR(IF(VLOOKUP(D5,'Team Information Input'!$A$2:$E$114,5,FALSE)=0,"",VLOOKUP(D5,'Team Information Input'!$A$2:$E$114,5,FALSE)),"")</f>
      </c>
    </row>
    <row r="6" spans="2:6" ht="12.75">
      <c r="B6" s="75" t="s">
        <v>55</v>
      </c>
      <c r="C6" s="76" t="s">
        <v>59</v>
      </c>
      <c r="D6" s="76">
        <f>_xlfn.IFERROR(VLOOKUP(B6,'Judged Area Analysis'!T$9:X$121,5,FALSE),"")</f>
      </c>
      <c r="E6" s="76">
        <f>_xlfn.IFERROR(VLOOKUP(D6,'Team Information Input'!$A$2:$E$114,2,FALSE),"")</f>
      </c>
      <c r="F6" s="76">
        <f>_xlfn.IFERROR(IF(VLOOKUP(D6,'Team Information Input'!$A$2:$E$114,5,FALSE)=0,"",VLOOKUP(D6,'Team Information Input'!$A$2:$E$114,5,FALSE)),"")</f>
      </c>
    </row>
    <row r="7" spans="2:6" ht="12.75">
      <c r="B7" s="75" t="s">
        <v>56</v>
      </c>
      <c r="C7" s="76" t="s">
        <v>60</v>
      </c>
      <c r="D7" s="76">
        <f>_xlfn.IFERROR(VLOOKUP(B7,'Judged Area Analysis'!T$9:X$121,5,FALSE),"")</f>
      </c>
      <c r="E7" s="76">
        <f>_xlfn.IFERROR(VLOOKUP(D7,'Team Information Input'!$A$2:$E$114,2,FALSE),"")</f>
      </c>
      <c r="F7" s="76">
        <f>_xlfn.IFERROR(IF(VLOOKUP(D7,'Team Information Input'!$A$2:$E$114,5,FALSE)=0,"",VLOOKUP(D7,'Team Information Input'!$A$2:$E$114,5,FALSE)),"")</f>
      </c>
    </row>
    <row r="8" spans="2:6" ht="12.75">
      <c r="B8" s="58"/>
      <c r="C8" s="1"/>
      <c r="D8" s="61"/>
      <c r="E8" s="1"/>
      <c r="F8" s="1"/>
    </row>
    <row r="9" spans="2:6" ht="12.75">
      <c r="B9" s="72" t="s">
        <v>50</v>
      </c>
      <c r="C9" s="73" t="s">
        <v>49</v>
      </c>
      <c r="D9" s="74" t="s">
        <v>118</v>
      </c>
      <c r="E9" s="73" t="s">
        <v>166</v>
      </c>
      <c r="F9" s="73" t="s">
        <v>119</v>
      </c>
    </row>
    <row r="10" spans="2:6" ht="12.75">
      <c r="B10" s="75" t="s">
        <v>464</v>
      </c>
      <c r="C10" s="76" t="s">
        <v>461</v>
      </c>
      <c r="D10" s="76">
        <f>_xlfn.IFERROR(VLOOKUP(B10,'Judged Area Analysis'!T$9:X$121,5,FALSE),"")</f>
      </c>
      <c r="E10" s="76">
        <f>_xlfn.IFERROR(VLOOKUP(D10,'Team Information Input'!$A$2:$E$114,2,FALSE),"")</f>
      </c>
      <c r="F10" s="76">
        <f>_xlfn.IFERROR(IF(VLOOKUP(D10,'Team Information Input'!$A$2:$E$114,5,FALSE)=0,"",VLOOKUP(D10,'Team Information Input'!$A$2:$E$114,5,FALSE)),"")</f>
      </c>
    </row>
    <row r="11" spans="2:6" ht="12.75">
      <c r="B11" s="75" t="s">
        <v>463</v>
      </c>
      <c r="C11" s="76" t="s">
        <v>458</v>
      </c>
      <c r="D11" s="76">
        <f>_xlfn.IFERROR(VLOOKUP(B11,'Judged Area Analysis'!T$9:X$121,5,FALSE),"")</f>
      </c>
      <c r="E11" s="76">
        <f>_xlfn.IFERROR(VLOOKUP(D11,'Team Information Input'!$A$2:$E$114,2,FALSE),"")</f>
      </c>
      <c r="F11" s="76">
        <f>_xlfn.IFERROR(IF(VLOOKUP(D11,'Team Information Input'!$A$2:$E$114,5,FALSE)=0,"",VLOOKUP(D11,'Team Information Input'!$A$2:$E$114,5,FALSE)),"")</f>
      </c>
    </row>
    <row r="12" spans="2:6" ht="12.75">
      <c r="B12" s="75" t="s">
        <v>94</v>
      </c>
      <c r="C12" s="76" t="s">
        <v>107</v>
      </c>
      <c r="D12" s="76">
        <f>_xlfn.IFERROR(VLOOKUP(B12,'Judged Area Analysis'!T$9:X$121,5,FALSE),"")</f>
      </c>
      <c r="E12" s="76">
        <f>_xlfn.IFERROR(VLOOKUP(D12,'Team Information Input'!$A$2:$E$114,2,FALSE),"")</f>
      </c>
      <c r="F12" s="76">
        <f>_xlfn.IFERROR(IF(VLOOKUP(D12,'Team Information Input'!$A$2:$E$114,5,FALSE)=0,"",VLOOKUP(D12,'Team Information Input'!$A$2:$E$114,5,FALSE)),"")</f>
      </c>
    </row>
    <row r="13" spans="2:6" ht="12.75">
      <c r="B13" s="75" t="s">
        <v>95</v>
      </c>
      <c r="C13" s="76" t="s">
        <v>106</v>
      </c>
      <c r="D13" s="76">
        <f>_xlfn.IFERROR(VLOOKUP(B13,'Judged Area Analysis'!T$9:X$121,5,FALSE),"")</f>
      </c>
      <c r="E13" s="76">
        <f>_xlfn.IFERROR(VLOOKUP(D13,'Team Information Input'!$A$2:$E$114,2,FALSE),"")</f>
      </c>
      <c r="F13" s="76">
        <f>_xlfn.IFERROR(IF(VLOOKUP(D13,'Team Information Input'!$A$2:$E$114,5,FALSE)=0,"",VLOOKUP(D13,'Team Information Input'!$A$2:$E$114,5,FALSE)),"")</f>
      </c>
    </row>
    <row r="14" spans="2:6" ht="12.75">
      <c r="B14" s="75" t="s">
        <v>96</v>
      </c>
      <c r="C14" s="76" t="s">
        <v>114</v>
      </c>
      <c r="D14" s="76">
        <f>_xlfn.IFERROR(VLOOKUP(B14,'Judged Area Analysis'!T$9:X$121,5,FALSE),"")</f>
      </c>
      <c r="E14" s="76">
        <f>_xlfn.IFERROR(VLOOKUP(D14,'Team Information Input'!$A$2:$E$114,2,FALSE),"")</f>
      </c>
      <c r="F14" s="76">
        <f>_xlfn.IFERROR(IF(VLOOKUP(D14,'Team Information Input'!$A$2:$E$114,5,FALSE)=0,"",VLOOKUP(D14,'Team Information Input'!$A$2:$E$114,5,FALSE)),"")</f>
      </c>
    </row>
    <row r="15" spans="2:6" ht="12.75">
      <c r="B15" s="75" t="s">
        <v>116</v>
      </c>
      <c r="C15" s="76" t="s">
        <v>108</v>
      </c>
      <c r="D15" s="76">
        <f>_xlfn.IFERROR(VLOOKUP(B15,'Judged Area Analysis'!T$9:X$121,5,FALSE),"")</f>
      </c>
      <c r="E15" s="76">
        <f>_xlfn.IFERROR(VLOOKUP(D15,'Team Information Input'!$A$2:$E$114,2,FALSE),"")</f>
      </c>
      <c r="F15" s="76">
        <f>_xlfn.IFERROR(IF(VLOOKUP(D15,'Team Information Input'!$A$2:$E$114,5,FALSE)=0,"",VLOOKUP(D15,'Team Information Input'!$A$2:$E$114,5,FALSE)),"")</f>
      </c>
    </row>
    <row r="16" spans="2:6" ht="12.75" customHeight="1">
      <c r="B16" s="75" t="s">
        <v>81</v>
      </c>
      <c r="C16" s="76" t="s">
        <v>52</v>
      </c>
      <c r="D16" s="77">
        <f>_xlfn.IFERROR(VLOOKUP(B16,'Judged Area Analysis'!T$9:X$121,5,FALSE),"")</f>
      </c>
      <c r="E16" s="77"/>
      <c r="F16" s="77">
        <f>_xlfn.IFERROR(VLOOKUP(D16,'Team Information Input'!$A$2:$E$114,2,FALSE),"")</f>
      </c>
    </row>
    <row r="17" spans="2:6" ht="12.75">
      <c r="B17" s="75" t="s">
        <v>80</v>
      </c>
      <c r="C17" s="76" t="s">
        <v>109</v>
      </c>
      <c r="D17" s="77">
        <f>_xlfn.IFERROR(VLOOKUP(B17,'Judged Area Analysis'!T$9:X$121,5,FALSE),"")</f>
      </c>
      <c r="E17" s="77"/>
      <c r="F17" s="77">
        <f>_xlfn.IFERROR(VLOOKUP(D17,'Team Information Input'!$A$2:$E$114,2,FALSE),"")</f>
      </c>
    </row>
    <row r="18" spans="2:6" ht="12.75">
      <c r="B18" s="75" t="s">
        <v>79</v>
      </c>
      <c r="C18" s="76" t="s">
        <v>110</v>
      </c>
      <c r="D18" s="77">
        <f>_xlfn.IFERROR(VLOOKUP(B18,'Judged Area Analysis'!T$9:X$121,5,FALSE),"")</f>
      </c>
      <c r="E18" s="77"/>
      <c r="F18" s="77">
        <f>_xlfn.IFERROR(VLOOKUP(D18,'Team Information Input'!$A$2:$E$114,2,FALSE),"")</f>
      </c>
    </row>
    <row r="19" spans="2:6" ht="12.75">
      <c r="B19" s="58"/>
      <c r="C19" s="1"/>
      <c r="D19" s="61"/>
      <c r="E19" s="1"/>
      <c r="F19" s="1"/>
    </row>
    <row r="20" spans="2:6" ht="24">
      <c r="B20" s="72" t="s">
        <v>50</v>
      </c>
      <c r="C20" s="73" t="s">
        <v>149</v>
      </c>
      <c r="D20" s="74" t="s">
        <v>127</v>
      </c>
      <c r="E20" s="73" t="s">
        <v>28</v>
      </c>
      <c r="F20" s="73" t="s">
        <v>38</v>
      </c>
    </row>
    <row r="21" spans="2:6" ht="12.75">
      <c r="B21" s="75" t="s">
        <v>142</v>
      </c>
      <c r="C21" s="76" t="s">
        <v>150</v>
      </c>
      <c r="D21" s="76">
        <f>_xlfn.IFERROR(VLOOKUP("ADV1",'Judged Area Analysis'!V$9:X$121,3,FALSE),"")</f>
      </c>
      <c r="E21" s="76">
        <f>_xlfn.IFERROR(VLOOKUP(D21,'Team Information Input'!$A$2:$E$114,2,FALSE),"")</f>
      </c>
      <c r="F21" s="76">
        <f>_xlfn.IFERROR(IF(VLOOKUP(D21,'Team Information Input'!$A$2:$E$114,5,FALSE)=0,"",VLOOKUP(D21,'Team Information Input'!$A$2:$E$114,5,FALSE)),"")</f>
      </c>
    </row>
    <row r="22" spans="2:6" ht="12.75">
      <c r="B22" s="75" t="s">
        <v>143</v>
      </c>
      <c r="C22" s="76" t="s">
        <v>151</v>
      </c>
      <c r="D22" s="76">
        <f>_xlfn.IFERROR(VLOOKUP("ADV2",'Judged Area Analysis'!V$9:X$121,3,FALSE),"")</f>
      </c>
      <c r="E22" s="76">
        <f>_xlfn.IFERROR(VLOOKUP(D22,'Team Information Input'!$A$2:$E$114,2,FALSE),"")</f>
      </c>
      <c r="F22" s="76">
        <f>_xlfn.IFERROR(IF(VLOOKUP(D22,'Team Information Input'!$A$2:$E$114,5,FALSE)=0,"",VLOOKUP(D22,'Team Information Input'!$A$2:$E$114,5,FALSE)),"")</f>
      </c>
    </row>
    <row r="23" spans="2:6" ht="12.75">
      <c r="B23" s="75" t="s">
        <v>144</v>
      </c>
      <c r="C23" s="76" t="s">
        <v>152</v>
      </c>
      <c r="D23" s="76">
        <f>_xlfn.IFERROR(VLOOKUP("ADV3",'Judged Area Analysis'!V$9:X$121,3,FALSE),"")</f>
      </c>
      <c r="E23" s="76">
        <f>_xlfn.IFERROR(VLOOKUP(D23,'Team Information Input'!$A$2:$E$114,2,FALSE),"")</f>
      </c>
      <c r="F23" s="76">
        <f>_xlfn.IFERROR(IF(VLOOKUP(D23,'Team Information Input'!$A$2:$E$114,5,FALSE)=0,"",VLOOKUP(D23,'Team Information Input'!$A$2:$E$114,5,FALSE)),"")</f>
      </c>
    </row>
    <row r="24" spans="2:6" ht="12.75">
      <c r="B24" s="75" t="s">
        <v>145</v>
      </c>
      <c r="C24" s="76" t="s">
        <v>153</v>
      </c>
      <c r="D24" s="76">
        <f>_xlfn.IFERROR(VLOOKUP("ADV4",'Judged Area Analysis'!V$9:X$121,3,FALSE),"")</f>
      </c>
      <c r="E24" s="76">
        <f>_xlfn.IFERROR(VLOOKUP(D24,'Team Information Input'!$A$2:$E$114,2,FALSE),"")</f>
      </c>
      <c r="F24" s="76">
        <f>_xlfn.IFERROR(IF(VLOOKUP(D24,'Team Information Input'!$A$2:$E$114,5,FALSE)=0,"",VLOOKUP(D24,'Team Information Input'!$A$2:$E$114,5,FALSE)),"")</f>
      </c>
    </row>
    <row r="25" spans="2:6" ht="12.75">
      <c r="B25" s="75" t="s">
        <v>146</v>
      </c>
      <c r="C25" s="76" t="s">
        <v>154</v>
      </c>
      <c r="D25" s="76">
        <f>_xlfn.IFERROR(VLOOKUP("ADV5",'Judged Area Analysis'!V$9:X$121,3,FALSE),"")</f>
      </c>
      <c r="E25" s="76">
        <f>_xlfn.IFERROR(VLOOKUP(D25,'Team Information Input'!$A$2:$E$114,2,FALSE),"")</f>
      </c>
      <c r="F25" s="76">
        <f>_xlfn.IFERROR(IF(VLOOKUP(D25,'Team Information Input'!$A$2:$E$114,5,FALSE)=0,"",VLOOKUP(D25,'Team Information Input'!$A$2:$E$114,5,FALSE)),"")</f>
      </c>
    </row>
    <row r="26" spans="2:6" ht="12.75">
      <c r="B26" s="75" t="s">
        <v>147</v>
      </c>
      <c r="C26" s="76" t="s">
        <v>155</v>
      </c>
      <c r="D26" s="76">
        <f>_xlfn.IFERROR(VLOOKUP("ADV6",'Judged Area Analysis'!V$9:X$121,3,FALSE),"")</f>
      </c>
      <c r="E26" s="76">
        <f>_xlfn.IFERROR(VLOOKUP(D26,'Team Information Input'!$A$2:$E$114,2,FALSE),"")</f>
      </c>
      <c r="F26" s="76">
        <f>_xlfn.IFERROR(IF(VLOOKUP(D26,'Team Information Input'!$A$2:$E$114,5,FALSE)=0,"",VLOOKUP(D26,'Team Information Input'!$A$2:$E$114,5,FALSE)),"")</f>
      </c>
    </row>
    <row r="27" spans="2:6" ht="12.75">
      <c r="B27" s="75" t="s">
        <v>148</v>
      </c>
      <c r="C27" s="76" t="s">
        <v>156</v>
      </c>
      <c r="D27" s="76">
        <f>_xlfn.IFERROR(VLOOKUP("ADV7",'Judged Area Analysis'!V$9:X$121,3,FALSE),"")</f>
      </c>
      <c r="E27" s="76">
        <f>_xlfn.IFERROR(VLOOKUP(D27,'Team Information Input'!$A$2:$E$114,2,FALSE),"")</f>
      </c>
      <c r="F27" s="76">
        <f>_xlfn.IFERROR(IF(VLOOKUP(D27,'Team Information Input'!$A$2:$E$114,5,FALSE)=0,"",VLOOKUP(D27,'Team Information Input'!$A$2:$E$114,5,FALSE)),"")</f>
      </c>
    </row>
    <row r="28" spans="2:6" ht="12.75">
      <c r="B28" s="75" t="s">
        <v>158</v>
      </c>
      <c r="C28" s="76" t="s">
        <v>160</v>
      </c>
      <c r="D28" s="76">
        <f>_xlfn.IFERROR(VLOOKUP("ALT1",'Judged Area Analysis'!V$9:X$121,3,FALSE),"")</f>
      </c>
      <c r="E28" s="76">
        <f>_xlfn.IFERROR(VLOOKUP(D28,'Team Information Input'!$A$2:$E$114,2,FALSE),"")</f>
      </c>
      <c r="F28" s="76">
        <f>_xlfn.IFERROR(IF(VLOOKUP(D28,'Team Information Input'!$A$2:$E$114,5,FALSE)=0,"",VLOOKUP(D28,'Team Information Input'!$A$2:$E$114,5,FALSE)),"")</f>
      </c>
    </row>
    <row r="29" spans="2:6" ht="12.75">
      <c r="B29" s="75" t="s">
        <v>159</v>
      </c>
      <c r="C29" s="76" t="s">
        <v>161</v>
      </c>
      <c r="D29" s="76">
        <f>_xlfn.IFERROR(VLOOKUP("ALT2",'Judged Area Analysis'!V$9:X$121,3,FALSE),"")</f>
      </c>
      <c r="E29" s="76">
        <f>_xlfn.IFERROR(VLOOKUP(D29,'Team Information Input'!$A$2:$E$114,2,FALSE),"")</f>
      </c>
      <c r="F29" s="76">
        <f>_xlfn.IFERROR(IF(VLOOKUP(D29,'Team Information Input'!$A$2:$E$114,5,FALSE)=0,"",VLOOKUP(D29,'Team Information Input'!$A$2:$E$114,5,FALSE)),"")</f>
      </c>
    </row>
    <row r="30" spans="2:6" ht="13.5" thickBot="1">
      <c r="B30" s="58"/>
      <c r="C30" s="1"/>
      <c r="D30" s="61"/>
      <c r="E30" s="1"/>
      <c r="F30" s="1"/>
    </row>
    <row r="31" spans="2:6" ht="20.25">
      <c r="B31" s="118" t="s">
        <v>182</v>
      </c>
      <c r="C31" s="119"/>
      <c r="D31" s="119"/>
      <c r="E31" s="119"/>
      <c r="F31" s="120"/>
    </row>
    <row r="32" spans="2:6" ht="159.75" customHeight="1">
      <c r="B32" s="121" t="s">
        <v>448</v>
      </c>
      <c r="C32" s="122"/>
      <c r="D32" s="122"/>
      <c r="E32" s="122"/>
      <c r="F32" s="123"/>
    </row>
    <row r="33" spans="2:6" ht="12.75">
      <c r="B33" s="124"/>
      <c r="C33" s="125"/>
      <c r="D33" s="125"/>
      <c r="E33" s="125"/>
      <c r="F33" s="126"/>
    </row>
    <row r="34" spans="2:6" ht="18.75">
      <c r="B34" s="142" t="s">
        <v>184</v>
      </c>
      <c r="C34" s="143"/>
      <c r="D34" s="143"/>
      <c r="E34" s="143"/>
      <c r="F34" s="144"/>
    </row>
    <row r="35" spans="2:6" ht="18.75" thickBot="1">
      <c r="B35" s="63"/>
      <c r="C35" s="64"/>
      <c r="D35" s="64"/>
      <c r="E35" s="64"/>
      <c r="F35" s="65"/>
    </row>
    <row r="36" spans="2:6" ht="13.5" thickBot="1">
      <c r="B36" s="62"/>
      <c r="C36" s="62"/>
      <c r="E36" s="62"/>
      <c r="F36" s="62"/>
    </row>
    <row r="37" spans="2:6" ht="20.25">
      <c r="B37" s="118" t="s">
        <v>468</v>
      </c>
      <c r="C37" s="119"/>
      <c r="D37" s="119"/>
      <c r="E37" s="119"/>
      <c r="F37" s="120"/>
    </row>
    <row r="38" spans="2:6" ht="88.5" customHeight="1" outlineLevel="1">
      <c r="B38" s="121" t="s">
        <v>185</v>
      </c>
      <c r="C38" s="122"/>
      <c r="D38" s="122"/>
      <c r="E38" s="122"/>
      <c r="F38" s="123"/>
    </row>
    <row r="39" spans="2:6" ht="73.5" customHeight="1" outlineLevel="1">
      <c r="B39" s="124"/>
      <c r="C39" s="125"/>
      <c r="D39" s="125"/>
      <c r="E39" s="125"/>
      <c r="F39" s="126"/>
    </row>
    <row r="40" spans="2:6" ht="18" outlineLevel="1">
      <c r="B40" s="127" t="s">
        <v>186</v>
      </c>
      <c r="C40" s="128"/>
      <c r="D40" s="128"/>
      <c r="E40" s="128"/>
      <c r="F40" s="129"/>
    </row>
    <row r="41" spans="2:6" ht="18.75" outlineLevel="1">
      <c r="B41" s="115">
        <f>_xlfn.IFERROR(VLOOKUP("OV",$B$3:$F$19,4,FALSE),"")</f>
        <v>0</v>
      </c>
      <c r="C41" s="116"/>
      <c r="D41" s="116"/>
      <c r="E41" s="116"/>
      <c r="F41" s="117"/>
    </row>
    <row r="42" spans="2:6" ht="18" outlineLevel="1">
      <c r="B42" s="130" t="str">
        <f>_xlfn.IFERROR("From Team Number: "&amp;VLOOKUP("OV",$B$3:$F$19,3,FALSE),"")</f>
        <v>From Team Number: </v>
      </c>
      <c r="C42" s="131"/>
      <c r="D42" s="131"/>
      <c r="E42" s="131"/>
      <c r="F42" s="132"/>
    </row>
    <row r="43" spans="2:6" ht="18.75" outlineLevel="1" thickBot="1">
      <c r="B43" s="63">
        <f>_xlfn.IFERROR(VLOOKUP("OV",$B$3:$F$19,5,FALSE),"")</f>
      </c>
      <c r="C43" s="64"/>
      <c r="D43" s="64"/>
      <c r="E43" s="64"/>
      <c r="F43" s="65"/>
    </row>
    <row r="44" spans="2:6" ht="13.5" thickBot="1">
      <c r="B44" s="62"/>
      <c r="C44" s="62"/>
      <c r="E44" s="62"/>
      <c r="F44" s="62"/>
    </row>
    <row r="45" spans="2:6" ht="20.25">
      <c r="B45" s="118" t="s">
        <v>469</v>
      </c>
      <c r="C45" s="119"/>
      <c r="D45" s="119"/>
      <c r="E45" s="119"/>
      <c r="F45" s="120"/>
    </row>
    <row r="46" spans="2:6" ht="67.5" customHeight="1" outlineLevel="1">
      <c r="B46" s="121" t="s">
        <v>139</v>
      </c>
      <c r="C46" s="122"/>
      <c r="D46" s="122"/>
      <c r="E46" s="122"/>
      <c r="F46" s="123"/>
    </row>
    <row r="47" spans="2:6" ht="85.5" customHeight="1" outlineLevel="1">
      <c r="B47" s="124"/>
      <c r="C47" s="125"/>
      <c r="D47" s="125"/>
      <c r="E47" s="125"/>
      <c r="F47" s="126"/>
    </row>
    <row r="48" spans="2:6" ht="18" outlineLevel="1">
      <c r="B48" s="127" t="s">
        <v>133</v>
      </c>
      <c r="C48" s="128"/>
      <c r="D48" s="128"/>
      <c r="E48" s="128"/>
      <c r="F48" s="129"/>
    </row>
    <row r="49" spans="2:6" ht="18.75" outlineLevel="1">
      <c r="B49" s="115">
        <f>_xlfn.IFERROR(VLOOKUP("AM",$B$3:$F$19,4,FALSE),"")</f>
        <v>0</v>
      </c>
      <c r="C49" s="116"/>
      <c r="D49" s="116"/>
      <c r="E49" s="116"/>
      <c r="F49" s="117"/>
    </row>
    <row r="50" spans="2:6" ht="18" outlineLevel="1">
      <c r="B50" s="130" t="str">
        <f>_xlfn.IFERROR("From Team Number: "&amp;VLOOKUP("AM",$B$3:$F$19,3,FALSE),"")</f>
        <v>From Team Number: </v>
      </c>
      <c r="C50" s="131"/>
      <c r="D50" s="131"/>
      <c r="E50" s="131"/>
      <c r="F50" s="132"/>
    </row>
    <row r="51" spans="2:6" ht="18.75" outlineLevel="1" thickBot="1">
      <c r="B51" s="63">
        <f>_xlfn.IFERROR(VLOOKUP("AM",$B$3:$F$19,5,FALSE),"")</f>
      </c>
      <c r="C51" s="64"/>
      <c r="D51" s="64"/>
      <c r="E51" s="64"/>
      <c r="F51" s="65"/>
    </row>
    <row r="52" spans="2:6" ht="13.5" thickBot="1">
      <c r="B52" s="62"/>
      <c r="C52" s="62"/>
      <c r="E52" s="62"/>
      <c r="F52" s="62"/>
    </row>
    <row r="53" spans="2:6" ht="20.25">
      <c r="B53" s="118" t="s">
        <v>470</v>
      </c>
      <c r="C53" s="119"/>
      <c r="D53" s="119"/>
      <c r="E53" s="119"/>
      <c r="F53" s="120"/>
    </row>
    <row r="54" spans="2:6" ht="42" customHeight="1" outlineLevel="1">
      <c r="B54" s="121" t="s">
        <v>140</v>
      </c>
      <c r="C54" s="122"/>
      <c r="D54" s="122"/>
      <c r="E54" s="122"/>
      <c r="F54" s="123"/>
    </row>
    <row r="55" spans="2:6" ht="103.5" customHeight="1" outlineLevel="1">
      <c r="B55" s="124"/>
      <c r="C55" s="125"/>
      <c r="D55" s="125"/>
      <c r="E55" s="125"/>
      <c r="F55" s="126"/>
    </row>
    <row r="56" spans="2:6" ht="18" outlineLevel="1">
      <c r="B56" s="127" t="s">
        <v>134</v>
      </c>
      <c r="C56" s="128"/>
      <c r="D56" s="128"/>
      <c r="E56" s="128"/>
      <c r="F56" s="129"/>
    </row>
    <row r="57" spans="2:6" ht="18.75" outlineLevel="1">
      <c r="B57" s="115">
        <f>_xlfn.IFERROR(VLOOKUP("YM",$B$3:$F$19,4,FALSE),"")</f>
        <v>0</v>
      </c>
      <c r="C57" s="116"/>
      <c r="D57" s="116"/>
      <c r="E57" s="116"/>
      <c r="F57" s="117"/>
    </row>
    <row r="58" spans="2:6" ht="18" outlineLevel="1">
      <c r="B58" s="130" t="str">
        <f>_xlfn.IFERROR("From Team Number: "&amp;VLOOKUP("YM",$B$3:$F$19,3,FALSE),"")</f>
        <v>From Team Number: </v>
      </c>
      <c r="C58" s="131"/>
      <c r="D58" s="131"/>
      <c r="E58" s="131"/>
      <c r="F58" s="132"/>
    </row>
    <row r="59" spans="2:6" ht="18.75" outlineLevel="1" thickBot="1">
      <c r="B59" s="63">
        <f>_xlfn.IFERROR(VLOOKUP("YM",$B$3:$F$19,5,FALSE),"")</f>
      </c>
      <c r="C59" s="64"/>
      <c r="D59" s="64"/>
      <c r="E59" s="64"/>
      <c r="F59" s="65"/>
    </row>
    <row r="60" spans="2:6" ht="13.5" thickBot="1">
      <c r="B60" s="62"/>
      <c r="C60" s="62"/>
      <c r="E60" s="62"/>
      <c r="F60" s="62"/>
    </row>
    <row r="61" spans="2:6" ht="20.25">
      <c r="B61" s="118" t="s">
        <v>123</v>
      </c>
      <c r="C61" s="119"/>
      <c r="D61" s="119"/>
      <c r="E61" s="119"/>
      <c r="F61" s="120"/>
    </row>
    <row r="62" spans="2:6" ht="76.5" customHeight="1">
      <c r="B62" s="121" t="s">
        <v>181</v>
      </c>
      <c r="C62" s="122"/>
      <c r="D62" s="122"/>
      <c r="E62" s="122"/>
      <c r="F62" s="123"/>
    </row>
    <row r="63" spans="2:6" ht="19.5" customHeight="1">
      <c r="B63" s="127"/>
      <c r="C63" s="128"/>
      <c r="D63" s="128"/>
      <c r="E63" s="128"/>
      <c r="F63" s="129"/>
    </row>
    <row r="64" spans="2:6" ht="18">
      <c r="B64" s="127" t="str">
        <f>"With a high score of "&amp;MAX('Robot Performance Analysis'!J7:J119)&amp;", the recipient of the Robot Performance Award is:"</f>
        <v>With a high score of 0, the recipient of the Robot Performance Award is:</v>
      </c>
      <c r="C64" s="128"/>
      <c r="D64" s="128"/>
      <c r="E64" s="128"/>
      <c r="F64" s="129"/>
    </row>
    <row r="65" spans="2:6" ht="18">
      <c r="B65" s="130" t="str">
        <f>_xlfn.IFERROR("Team Number: "&amp;VLOOKUP("RP1",$B$3:$F$19,3,FALSE),"")</f>
        <v>Team Number: </v>
      </c>
      <c r="C65" s="131"/>
      <c r="D65" s="131"/>
      <c r="E65" s="131"/>
      <c r="F65" s="132"/>
    </row>
    <row r="66" spans="2:6" ht="18.75">
      <c r="B66" s="115">
        <f>_xlfn.IFERROR(VLOOKUP("RP1",$B$3:$F$19,4,FALSE),"")</f>
      </c>
      <c r="C66" s="116"/>
      <c r="D66" s="116"/>
      <c r="E66" s="116"/>
      <c r="F66" s="117"/>
    </row>
    <row r="67" spans="2:6" ht="18.75" thickBot="1">
      <c r="B67" s="63">
        <f>_xlfn.IFERROR(VLOOKUP("RP1",$B$3:$F$19,5,FALSE),"")</f>
      </c>
      <c r="C67" s="64"/>
      <c r="D67" s="64"/>
      <c r="E67" s="64"/>
      <c r="F67" s="65"/>
    </row>
    <row r="68" spans="2:6" ht="13.5" thickBot="1">
      <c r="B68" s="62"/>
      <c r="C68" s="62"/>
      <c r="E68" s="62"/>
      <c r="F68" s="62"/>
    </row>
    <row r="69" spans="2:6" ht="20.25">
      <c r="B69" s="118" t="s">
        <v>58</v>
      </c>
      <c r="C69" s="119"/>
      <c r="D69" s="119"/>
      <c r="E69" s="119"/>
      <c r="F69" s="120"/>
    </row>
    <row r="70" spans="2:6" ht="148.5" customHeight="1">
      <c r="B70" s="121" t="s">
        <v>179</v>
      </c>
      <c r="C70" s="122"/>
      <c r="D70" s="122"/>
      <c r="E70" s="122"/>
      <c r="F70" s="123"/>
    </row>
    <row r="71" spans="2:6" ht="50.25" customHeight="1">
      <c r="B71" s="124"/>
      <c r="C71" s="125"/>
      <c r="D71" s="125"/>
      <c r="E71" s="125"/>
      <c r="F71" s="126"/>
    </row>
    <row r="72" spans="2:6" ht="18">
      <c r="B72" s="127" t="s">
        <v>129</v>
      </c>
      <c r="C72" s="128"/>
      <c r="D72" s="128"/>
      <c r="E72" s="128"/>
      <c r="F72" s="129"/>
    </row>
    <row r="73" spans="2:6" ht="18">
      <c r="B73" s="130" t="str">
        <f>_xlfn.IFERROR("Team Number: "&amp;VLOOKUP("RD",$B$3:$F$19,3,FALSE),"")</f>
        <v>Team Number: </v>
      </c>
      <c r="C73" s="131"/>
      <c r="D73" s="131"/>
      <c r="E73" s="131"/>
      <c r="F73" s="132"/>
    </row>
    <row r="74" spans="2:6" ht="18.75">
      <c r="B74" s="115">
        <f>_xlfn.IFERROR(VLOOKUP("RD",$B$3:$F$19,4,FALSE),"")</f>
      </c>
      <c r="C74" s="116"/>
      <c r="D74" s="116"/>
      <c r="E74" s="116"/>
      <c r="F74" s="117"/>
    </row>
    <row r="75" spans="2:6" ht="18.75" thickBot="1">
      <c r="B75" s="63">
        <f>_xlfn.IFERROR(VLOOKUP("RD",$B$3:$F$19,5,FALSE),"")</f>
      </c>
      <c r="C75" s="64"/>
      <c r="D75" s="64"/>
      <c r="E75" s="64"/>
      <c r="F75" s="65"/>
    </row>
    <row r="76" spans="2:6" ht="13.5" thickBot="1">
      <c r="B76" s="62"/>
      <c r="C76" s="62"/>
      <c r="E76" s="62"/>
      <c r="F76" s="62"/>
    </row>
    <row r="77" spans="2:6" ht="20.25">
      <c r="B77" s="118" t="s">
        <v>59</v>
      </c>
      <c r="C77" s="119"/>
      <c r="D77" s="119"/>
      <c r="E77" s="119"/>
      <c r="F77" s="120"/>
    </row>
    <row r="78" spans="2:6" ht="110.25" customHeight="1">
      <c r="B78" s="121" t="s">
        <v>180</v>
      </c>
      <c r="C78" s="122"/>
      <c r="D78" s="122"/>
      <c r="E78" s="122"/>
      <c r="F78" s="123"/>
    </row>
    <row r="79" spans="2:6" ht="13.5" customHeight="1">
      <c r="B79" s="124"/>
      <c r="C79" s="125"/>
      <c r="D79" s="125"/>
      <c r="E79" s="125"/>
      <c r="F79" s="126"/>
    </row>
    <row r="80" spans="2:6" ht="18">
      <c r="B80" s="127" t="s">
        <v>130</v>
      </c>
      <c r="C80" s="128"/>
      <c r="D80" s="128"/>
      <c r="E80" s="128"/>
      <c r="F80" s="129"/>
    </row>
    <row r="81" spans="2:6" ht="18">
      <c r="B81" s="130" t="str">
        <f>_xlfn.IFERROR("Team Number: "&amp;VLOOKUP("PR",$B$3:$F$19,3,FALSE),"")</f>
        <v>Team Number: </v>
      </c>
      <c r="C81" s="131"/>
      <c r="D81" s="131"/>
      <c r="E81" s="131"/>
      <c r="F81" s="132"/>
    </row>
    <row r="82" spans="2:6" ht="18.75">
      <c r="B82" s="115">
        <f>_xlfn.IFERROR(VLOOKUP("PR",$B$3:$F$19,4,FALSE),"")</f>
      </c>
      <c r="C82" s="116"/>
      <c r="D82" s="116"/>
      <c r="E82" s="116"/>
      <c r="F82" s="117"/>
    </row>
    <row r="83" spans="2:6" ht="18.75" thickBot="1">
      <c r="B83" s="63">
        <f>_xlfn.IFERROR(VLOOKUP("PR",$B$3:$F$19,5,FALSE),"")</f>
      </c>
      <c r="C83" s="64"/>
      <c r="D83" s="64"/>
      <c r="E83" s="64"/>
      <c r="F83" s="65"/>
    </row>
    <row r="84" spans="2:6" ht="13.5" thickBot="1">
      <c r="B84" s="62"/>
      <c r="C84" s="62"/>
      <c r="E84" s="62"/>
      <c r="F84" s="62"/>
    </row>
    <row r="85" spans="2:6" ht="20.25">
      <c r="B85" s="118" t="s">
        <v>60</v>
      </c>
      <c r="C85" s="119"/>
      <c r="D85" s="119"/>
      <c r="E85" s="119"/>
      <c r="F85" s="120"/>
    </row>
    <row r="86" spans="2:6" ht="95.25" customHeight="1">
      <c r="B86" s="139" t="s">
        <v>187</v>
      </c>
      <c r="C86" s="140"/>
      <c r="D86" s="140"/>
      <c r="E86" s="140"/>
      <c r="F86" s="141"/>
    </row>
    <row r="87" spans="2:6" ht="81.75" customHeight="1">
      <c r="B87" s="124"/>
      <c r="C87" s="125"/>
      <c r="D87" s="125"/>
      <c r="E87" s="125"/>
      <c r="F87" s="126"/>
    </row>
    <row r="88" spans="2:6" ht="18">
      <c r="B88" s="127" t="s">
        <v>131</v>
      </c>
      <c r="C88" s="128"/>
      <c r="D88" s="128"/>
      <c r="E88" s="128"/>
      <c r="F88" s="129"/>
    </row>
    <row r="89" spans="2:6" ht="18">
      <c r="B89" s="130" t="str">
        <f>_xlfn.IFERROR("Team Number: "&amp;VLOOKUP("CV",$B$3:$F$19,3,FALSE),"")</f>
        <v>Team Number: </v>
      </c>
      <c r="C89" s="131"/>
      <c r="D89" s="131"/>
      <c r="E89" s="131"/>
      <c r="F89" s="132"/>
    </row>
    <row r="90" spans="2:6" ht="18.75">
      <c r="B90" s="115">
        <f>_xlfn.IFERROR(VLOOKUP("CV",$B$3:$F$19,4,FALSE),"")</f>
      </c>
      <c r="C90" s="116"/>
      <c r="D90" s="116"/>
      <c r="E90" s="116"/>
      <c r="F90" s="117"/>
    </row>
    <row r="91" spans="2:6" ht="18.75" thickBot="1">
      <c r="B91" s="63">
        <f>_xlfn.IFERROR(VLOOKUP("CV",$B$3:$F$19,5,FALSE),"")</f>
      </c>
      <c r="C91" s="64"/>
      <c r="D91" s="64"/>
      <c r="E91" s="64"/>
      <c r="F91" s="65"/>
    </row>
    <row r="92" spans="2:6" ht="18.75" thickBot="1">
      <c r="B92" s="69"/>
      <c r="C92" s="69"/>
      <c r="D92" s="69"/>
      <c r="E92" s="69"/>
      <c r="F92" s="69"/>
    </row>
    <row r="93" spans="2:6" ht="20.25" customHeight="1">
      <c r="B93" s="118" t="s">
        <v>471</v>
      </c>
      <c r="C93" s="119"/>
      <c r="D93" s="119"/>
      <c r="E93" s="119"/>
      <c r="F93" s="120"/>
    </row>
    <row r="94" spans="2:6" ht="66" customHeight="1" outlineLevel="1">
      <c r="B94" s="121" t="s">
        <v>459</v>
      </c>
      <c r="C94" s="122"/>
      <c r="D94" s="122"/>
      <c r="E94" s="122"/>
      <c r="F94" s="123"/>
    </row>
    <row r="95" spans="2:6" ht="12.75" outlineLevel="1">
      <c r="B95" s="124"/>
      <c r="C95" s="125"/>
      <c r="D95" s="125"/>
      <c r="E95" s="125"/>
      <c r="F95" s="126"/>
    </row>
    <row r="96" spans="2:6" ht="18" customHeight="1" outlineLevel="1">
      <c r="B96" s="127" t="s">
        <v>460</v>
      </c>
      <c r="C96" s="128"/>
      <c r="D96" s="128"/>
      <c r="E96" s="128"/>
      <c r="F96" s="129"/>
    </row>
    <row r="97" spans="2:6" ht="18" outlineLevel="1">
      <c r="B97" s="130" t="str">
        <f>_xlfn.IFERROR("Team Number: "&amp;VLOOKUP("OA",$B$2:$F$56,3,FALSE),"")</f>
        <v>Team Number: </v>
      </c>
      <c r="C97" s="131"/>
      <c r="D97" s="131"/>
      <c r="E97" s="131"/>
      <c r="F97" s="132"/>
    </row>
    <row r="98" spans="2:6" ht="18.75" outlineLevel="1">
      <c r="B98" s="115">
        <f>_xlfn.IFERROR(VLOOKUP("OA",$B$2:$F$56,4,FALSE),"")</f>
      </c>
      <c r="C98" s="116"/>
      <c r="D98" s="116"/>
      <c r="E98" s="116"/>
      <c r="F98" s="117"/>
    </row>
    <row r="99" spans="2:6" ht="18.75" outlineLevel="1" thickBot="1">
      <c r="B99" s="63">
        <f>_xlfn.IFERROR(VLOOKUP("OA",$B$2:$F$56,5,FALSE),"")</f>
      </c>
      <c r="C99" s="64"/>
      <c r="D99" s="64"/>
      <c r="E99" s="64"/>
      <c r="F99" s="65"/>
    </row>
    <row r="100" spans="2:6" ht="18.75" thickBot="1">
      <c r="B100" s="69"/>
      <c r="C100" s="69"/>
      <c r="D100" s="69"/>
      <c r="E100" s="69"/>
      <c r="F100" s="69"/>
    </row>
    <row r="101" spans="2:6" ht="20.25" customHeight="1">
      <c r="B101" s="118" t="s">
        <v>472</v>
      </c>
      <c r="C101" s="119"/>
      <c r="D101" s="119"/>
      <c r="E101" s="119"/>
      <c r="F101" s="120"/>
    </row>
    <row r="102" spans="2:6" ht="18" outlineLevel="1">
      <c r="B102" s="121" t="s">
        <v>479</v>
      </c>
      <c r="C102" s="122"/>
      <c r="D102" s="122"/>
      <c r="E102" s="122"/>
      <c r="F102" s="123"/>
    </row>
    <row r="103" spans="2:6" ht="12.75" outlineLevel="1">
      <c r="B103" s="124"/>
      <c r="C103" s="125"/>
      <c r="D103" s="125"/>
      <c r="E103" s="125"/>
      <c r="F103" s="126"/>
    </row>
    <row r="104" spans="2:6" ht="18" customHeight="1" outlineLevel="1">
      <c r="B104" s="127" t="s">
        <v>462</v>
      </c>
      <c r="C104" s="128"/>
      <c r="D104" s="128"/>
      <c r="E104" s="128"/>
      <c r="F104" s="129"/>
    </row>
    <row r="105" spans="2:6" ht="18" outlineLevel="1">
      <c r="B105" s="130" t="str">
        <f>_xlfn.IFERROR("Team Number: "&amp;VLOOKUP("RS",$B$2:$F$56,3,FALSE),"")</f>
        <v>Team Number: </v>
      </c>
      <c r="C105" s="131"/>
      <c r="D105" s="131"/>
      <c r="E105" s="131"/>
      <c r="F105" s="132"/>
    </row>
    <row r="106" spans="2:6" ht="18.75" outlineLevel="1">
      <c r="B106" s="115">
        <f>_xlfn.IFERROR(VLOOKUP("RS",$B$2:$F$56,4,FALSE),"")</f>
      </c>
      <c r="C106" s="116"/>
      <c r="D106" s="116"/>
      <c r="E106" s="116"/>
      <c r="F106" s="117"/>
    </row>
    <row r="107" spans="2:6" ht="18.75" outlineLevel="1" thickBot="1">
      <c r="B107" s="63">
        <f>_xlfn.IFERROR(VLOOKUP("RS",$B$2:$F$56,5,FALSE),"")</f>
      </c>
      <c r="C107" s="64"/>
      <c r="D107" s="64"/>
      <c r="E107" s="64"/>
      <c r="F107" s="65"/>
    </row>
    <row r="108" spans="2:6" ht="12.75">
      <c r="B108" s="62"/>
      <c r="C108" s="62"/>
      <c r="E108" s="62"/>
      <c r="F108" s="62"/>
    </row>
    <row r="109" spans="2:6" ht="13.5" thickBot="1">
      <c r="B109" s="62"/>
      <c r="C109" s="62"/>
      <c r="E109" s="62"/>
      <c r="F109" s="62"/>
    </row>
    <row r="110" spans="2:6" ht="20.25">
      <c r="B110" s="118" t="s">
        <v>473</v>
      </c>
      <c r="C110" s="119"/>
      <c r="D110" s="119"/>
      <c r="E110" s="119"/>
      <c r="F110" s="120"/>
    </row>
    <row r="111" spans="2:6" ht="96.75" customHeight="1" outlineLevel="1">
      <c r="B111" s="121" t="s">
        <v>136</v>
      </c>
      <c r="C111" s="122"/>
      <c r="D111" s="122"/>
      <c r="E111" s="122"/>
      <c r="F111" s="123"/>
    </row>
    <row r="112" spans="2:6" ht="32.25" customHeight="1" outlineLevel="1">
      <c r="B112" s="124"/>
      <c r="C112" s="125"/>
      <c r="D112" s="125"/>
      <c r="E112" s="125"/>
      <c r="F112" s="126"/>
    </row>
    <row r="113" spans="2:6" ht="18" outlineLevel="1">
      <c r="B113" s="127" t="s">
        <v>175</v>
      </c>
      <c r="C113" s="128"/>
      <c r="D113" s="128"/>
      <c r="E113" s="128"/>
      <c r="F113" s="129"/>
    </row>
    <row r="114" spans="2:6" ht="18" outlineLevel="1">
      <c r="B114" s="130" t="str">
        <f>_xlfn.IFERROR("Team Number: "&amp;VLOOKUP("J3",$B$3:$F$19,3,FALSE),"")</f>
        <v>Team Number: </v>
      </c>
      <c r="C114" s="131"/>
      <c r="D114" s="131"/>
      <c r="E114" s="131"/>
      <c r="F114" s="132"/>
    </row>
    <row r="115" spans="2:6" ht="18.75" outlineLevel="1">
      <c r="B115" s="115">
        <f>_xlfn.IFERROR(VLOOKUP("J3",$B$3:$F$19,4,FALSE),"")</f>
      </c>
      <c r="C115" s="116"/>
      <c r="D115" s="116"/>
      <c r="E115" s="116"/>
      <c r="F115" s="117"/>
    </row>
    <row r="116" spans="2:6" ht="18.75" outlineLevel="1" thickBot="1">
      <c r="B116" s="63">
        <f>_xlfn.IFERROR(VLOOKUP("J3",$B$3:$F$19,5,FALSE),"")</f>
      </c>
      <c r="C116" s="64"/>
      <c r="D116" s="64"/>
      <c r="E116" s="64"/>
      <c r="F116" s="65"/>
    </row>
    <row r="117" spans="2:6" ht="13.5" thickBot="1">
      <c r="B117" s="62"/>
      <c r="C117" s="62"/>
      <c r="E117" s="62"/>
      <c r="F117" s="62"/>
    </row>
    <row r="118" spans="2:6" ht="20.25" customHeight="1">
      <c r="B118" s="118" t="s">
        <v>474</v>
      </c>
      <c r="C118" s="119"/>
      <c r="D118" s="119"/>
      <c r="E118" s="119"/>
      <c r="F118" s="120"/>
    </row>
    <row r="119" spans="2:6" ht="18" outlineLevel="1">
      <c r="B119" s="121"/>
      <c r="C119" s="122"/>
      <c r="D119" s="122"/>
      <c r="E119" s="122"/>
      <c r="F119" s="123"/>
    </row>
    <row r="120" spans="2:6" ht="16.5" customHeight="1" outlineLevel="1">
      <c r="B120" s="124"/>
      <c r="C120" s="125"/>
      <c r="D120" s="125"/>
      <c r="E120" s="125"/>
      <c r="F120" s="126"/>
    </row>
    <row r="121" spans="2:6" ht="18" customHeight="1" outlineLevel="1">
      <c r="B121" s="127" t="s">
        <v>177</v>
      </c>
      <c r="C121" s="128"/>
      <c r="D121" s="128"/>
      <c r="E121" s="128"/>
      <c r="F121" s="129"/>
    </row>
    <row r="122" spans="2:6" ht="18" outlineLevel="1">
      <c r="B122" s="130" t="str">
        <f>_xlfn.IFERROR("Team Number: "&amp;VLOOKUP("J2",$B$3:$F$19,3,FALSE),"")</f>
        <v>Team Number: </v>
      </c>
      <c r="C122" s="131"/>
      <c r="D122" s="131"/>
      <c r="E122" s="131"/>
      <c r="F122" s="132"/>
    </row>
    <row r="123" spans="2:6" ht="18.75" outlineLevel="1">
      <c r="B123" s="115">
        <f>_xlfn.IFERROR(VLOOKUP("J2",$B$3:$F$19,4,FALSE),"")</f>
      </c>
      <c r="C123" s="116"/>
      <c r="D123" s="116"/>
      <c r="E123" s="116"/>
      <c r="F123" s="117"/>
    </row>
    <row r="124" spans="2:6" ht="18.75" outlineLevel="1" thickBot="1">
      <c r="B124" s="63">
        <f>_xlfn.IFERROR(VLOOKUP("J2",$B$3:$F$19,5,FALSE),"")</f>
      </c>
      <c r="C124" s="64"/>
      <c r="D124" s="64"/>
      <c r="E124" s="64"/>
      <c r="F124" s="65"/>
    </row>
    <row r="125" spans="2:6" ht="13.5" thickBot="1">
      <c r="B125" s="62"/>
      <c r="C125" s="62"/>
      <c r="E125" s="62"/>
      <c r="F125" s="62"/>
    </row>
    <row r="126" spans="2:6" ht="20.25" customHeight="1">
      <c r="B126" s="118" t="s">
        <v>475</v>
      </c>
      <c r="C126" s="119"/>
      <c r="D126" s="119"/>
      <c r="E126" s="119"/>
      <c r="F126" s="120"/>
    </row>
    <row r="127" spans="2:6" ht="18" outlineLevel="1">
      <c r="B127" s="121"/>
      <c r="C127" s="122"/>
      <c r="D127" s="122"/>
      <c r="E127" s="122"/>
      <c r="F127" s="123"/>
    </row>
    <row r="128" spans="2:6" ht="12.75" customHeight="1" outlineLevel="1">
      <c r="B128" s="124"/>
      <c r="C128" s="125"/>
      <c r="D128" s="125"/>
      <c r="E128" s="125"/>
      <c r="F128" s="126"/>
    </row>
    <row r="129" spans="2:6" ht="18" customHeight="1" outlineLevel="1">
      <c r="B129" s="127" t="s">
        <v>178</v>
      </c>
      <c r="C129" s="128"/>
      <c r="D129" s="128"/>
      <c r="E129" s="128"/>
      <c r="F129" s="129"/>
    </row>
    <row r="130" spans="2:6" ht="18" outlineLevel="1">
      <c r="B130" s="130" t="str">
        <f>_xlfn.IFERROR("Team Number: "&amp;VLOOKUP("J1",$B$3:$F$19,3,FALSE),"")</f>
        <v>Team Number: </v>
      </c>
      <c r="C130" s="131"/>
      <c r="D130" s="131"/>
      <c r="E130" s="131"/>
      <c r="F130" s="132"/>
    </row>
    <row r="131" spans="2:6" ht="18.75" outlineLevel="1">
      <c r="B131" s="115">
        <f>_xlfn.IFERROR(VLOOKUP("J1",$B$3:$F$19,4,FALSE),"")</f>
      </c>
      <c r="C131" s="116"/>
      <c r="D131" s="116"/>
      <c r="E131" s="116"/>
      <c r="F131" s="117"/>
    </row>
    <row r="132" spans="2:6" ht="18.75" outlineLevel="1" thickBot="1">
      <c r="B132" s="63">
        <f>_xlfn.IFERROR(VLOOKUP("J1",$B$3:$F$19,5,FALSE),"")</f>
      </c>
      <c r="C132" s="64"/>
      <c r="D132" s="64"/>
      <c r="E132" s="64"/>
      <c r="F132" s="65"/>
    </row>
    <row r="133" spans="2:6" ht="13.5" thickBot="1">
      <c r="B133" s="62"/>
      <c r="C133" s="62"/>
      <c r="E133" s="62"/>
      <c r="F133" s="62"/>
    </row>
    <row r="134" spans="2:6" ht="20.25">
      <c r="B134" s="118" t="s">
        <v>57</v>
      </c>
      <c r="C134" s="119"/>
      <c r="D134" s="119"/>
      <c r="E134" s="119"/>
      <c r="F134" s="120"/>
    </row>
    <row r="135" spans="2:6" ht="144" customHeight="1">
      <c r="B135" s="121" t="s">
        <v>188</v>
      </c>
      <c r="C135" s="122"/>
      <c r="D135" s="122"/>
      <c r="E135" s="122"/>
      <c r="F135" s="123"/>
    </row>
    <row r="136" spans="2:6" ht="152.25" customHeight="1">
      <c r="B136" s="124"/>
      <c r="C136" s="125"/>
      <c r="D136" s="125"/>
      <c r="E136" s="125"/>
      <c r="F136" s="126"/>
    </row>
    <row r="137" spans="2:6" ht="18">
      <c r="B137" s="127" t="s">
        <v>135</v>
      </c>
      <c r="C137" s="128"/>
      <c r="D137" s="128"/>
      <c r="E137" s="128"/>
      <c r="F137" s="129"/>
    </row>
    <row r="138" spans="2:6" ht="18">
      <c r="B138" s="130" t="str">
        <f>_xlfn.IFERROR("Team Number: "&amp;VLOOKUP("CH",$B$3:$F$19,3,FALSE),"")</f>
        <v>Team Number: </v>
      </c>
      <c r="C138" s="131"/>
      <c r="D138" s="131"/>
      <c r="E138" s="131"/>
      <c r="F138" s="132"/>
    </row>
    <row r="139" spans="2:6" ht="18.75">
      <c r="B139" s="115">
        <f>_xlfn.IFERROR(VLOOKUP("CH",$B$3:$F$19,4,FALSE),"")</f>
      </c>
      <c r="C139" s="116"/>
      <c r="D139" s="116"/>
      <c r="E139" s="116"/>
      <c r="F139" s="117"/>
    </row>
    <row r="140" spans="2:6" ht="18.75" thickBot="1">
      <c r="B140" s="63">
        <f>_xlfn.IFERROR(VLOOKUP("CH",$B$3:$F$19,5,FALSE),"")</f>
      </c>
      <c r="C140" s="64"/>
      <c r="D140" s="64"/>
      <c r="E140" s="64"/>
      <c r="F140" s="65"/>
    </row>
    <row r="141" ht="13.5" thickBot="1"/>
    <row r="142" spans="2:6" ht="20.25">
      <c r="B142" s="118" t="s">
        <v>137</v>
      </c>
      <c r="C142" s="119"/>
      <c r="D142" s="119"/>
      <c r="E142" s="119"/>
      <c r="F142" s="120"/>
    </row>
    <row r="143" spans="2:6" ht="78.75" customHeight="1">
      <c r="B143" s="121" t="s">
        <v>141</v>
      </c>
      <c r="C143" s="122"/>
      <c r="D143" s="122"/>
      <c r="E143" s="122"/>
      <c r="F143" s="123"/>
    </row>
    <row r="144" spans="2:6" ht="12.75">
      <c r="B144" s="124"/>
      <c r="C144" s="125"/>
      <c r="D144" s="125"/>
      <c r="E144" s="125"/>
      <c r="F144" s="126"/>
    </row>
    <row r="145" spans="2:6" ht="18">
      <c r="B145" s="127" t="s">
        <v>189</v>
      </c>
      <c r="C145" s="128"/>
      <c r="D145" s="128"/>
      <c r="E145" s="128"/>
      <c r="F145" s="129"/>
    </row>
    <row r="146" spans="2:6" ht="18">
      <c r="B146" s="130" t="str">
        <f>_xlfn.IFERROR("Team Number: "&amp;VLOOKUP("ADV1",$B$21:$F$29,3,FALSE),"")</f>
        <v>Team Number: </v>
      </c>
      <c r="C146" s="131"/>
      <c r="D146" s="131"/>
      <c r="E146" s="131"/>
      <c r="F146" s="132"/>
    </row>
    <row r="147" spans="2:6" ht="18.75">
      <c r="B147" s="115">
        <f>_xlfn.IFERROR(VLOOKUP("ADV1",$B$21:$F$29,4,FALSE),"")</f>
      </c>
      <c r="C147" s="116"/>
      <c r="D147" s="116"/>
      <c r="E147" s="116"/>
      <c r="F147" s="117"/>
    </row>
    <row r="148" spans="2:6" ht="18">
      <c r="B148" s="70">
        <f>_xlfn.IFERROR(VLOOKUP("ADV1",$B$21:$F$29,5,FALSE),"")</f>
      </c>
      <c r="C148" s="69"/>
      <c r="D148" s="69"/>
      <c r="E148" s="69"/>
      <c r="F148" s="71"/>
    </row>
    <row r="149" spans="2:6" ht="18">
      <c r="B149" s="133" t="str">
        <f>_xlfn.IFERROR("Team Number: "&amp;VLOOKUP("ADV2",$B$21:$F$29,3,FALSE),"")</f>
        <v>Team Number: </v>
      </c>
      <c r="C149" s="134"/>
      <c r="D149" s="134"/>
      <c r="E149" s="134"/>
      <c r="F149" s="135"/>
    </row>
    <row r="150" spans="2:6" ht="18.75">
      <c r="B150" s="115">
        <f>_xlfn.IFERROR(VLOOKUP("ADV2",$B$21:$F$29,4,FALSE),"")</f>
      </c>
      <c r="C150" s="116"/>
      <c r="D150" s="116"/>
      <c r="E150" s="116"/>
      <c r="F150" s="117"/>
    </row>
    <row r="151" spans="2:6" ht="18">
      <c r="B151" s="70">
        <f>_xlfn.IFERROR(VLOOKUP("ADV2",$B$21:$F$29,5,FALSE),"")</f>
      </c>
      <c r="C151" s="69"/>
      <c r="D151" s="69"/>
      <c r="E151" s="69"/>
      <c r="F151" s="71"/>
    </row>
    <row r="152" spans="2:6" ht="18">
      <c r="B152" s="133" t="str">
        <f>_xlfn.IFERROR("Team Number: "&amp;VLOOKUP("ADV3",$B$21:$F$29,3,FALSE),"")</f>
        <v>Team Number: </v>
      </c>
      <c r="C152" s="134"/>
      <c r="D152" s="134"/>
      <c r="E152" s="134"/>
      <c r="F152" s="135"/>
    </row>
    <row r="153" spans="2:6" ht="18.75">
      <c r="B153" s="115">
        <f>_xlfn.IFERROR(VLOOKUP("ADV3",$B$21:$F$29,4,FALSE),"")</f>
      </c>
      <c r="C153" s="116"/>
      <c r="D153" s="116"/>
      <c r="E153" s="116"/>
      <c r="F153" s="117"/>
    </row>
    <row r="154" spans="2:6" ht="18">
      <c r="B154" s="70">
        <f>_xlfn.IFERROR(VLOOKUP("ADV3",$B$21:$F$29,5,FALSE),"")</f>
      </c>
      <c r="C154" s="69"/>
      <c r="D154" s="69"/>
      <c r="E154" s="69"/>
      <c r="F154" s="71"/>
    </row>
    <row r="155" spans="2:6" ht="18">
      <c r="B155" s="133" t="str">
        <f>_xlfn.IFERROR("Team Number: "&amp;VLOOKUP("ADV4",$B$21:$F$29,3,FALSE),"")</f>
        <v>Team Number: </v>
      </c>
      <c r="C155" s="134"/>
      <c r="D155" s="134"/>
      <c r="E155" s="134"/>
      <c r="F155" s="135"/>
    </row>
    <row r="156" spans="2:6" ht="18.75">
      <c r="B156" s="115">
        <f>_xlfn.IFERROR(VLOOKUP("ADV4",$B$21:$F$29,4,FALSE),"")</f>
      </c>
      <c r="C156" s="116"/>
      <c r="D156" s="116"/>
      <c r="E156" s="116"/>
      <c r="F156" s="117"/>
    </row>
    <row r="157" spans="2:6" ht="18">
      <c r="B157" s="70">
        <f>_xlfn.IFERROR(VLOOKUP("ADV4",$B$21:$F$29,5,FALSE),"")</f>
      </c>
      <c r="C157" s="69"/>
      <c r="D157" s="69"/>
      <c r="E157" s="69"/>
      <c r="F157" s="71"/>
    </row>
    <row r="158" spans="2:6" ht="18">
      <c r="B158" s="133" t="str">
        <f>_xlfn.IFERROR("Team Number: "&amp;VLOOKUP("ADV5",$B$21:$F$29,3,FALSE),"")</f>
        <v>Team Number: </v>
      </c>
      <c r="C158" s="134"/>
      <c r="D158" s="134"/>
      <c r="E158" s="134"/>
      <c r="F158" s="135"/>
    </row>
    <row r="159" spans="2:6" ht="18.75">
      <c r="B159" s="115">
        <f>_xlfn.IFERROR(VLOOKUP("ADV5",$B$21:$F$29,4,FALSE),"")</f>
      </c>
      <c r="C159" s="116"/>
      <c r="D159" s="116"/>
      <c r="E159" s="116"/>
      <c r="F159" s="117"/>
    </row>
    <row r="160" spans="2:6" ht="18">
      <c r="B160" s="70">
        <f>_xlfn.IFERROR(VLOOKUP("ADV5",$B$21:$F$29,5,FALSE),"")</f>
      </c>
      <c r="C160" s="69"/>
      <c r="D160" s="69"/>
      <c r="E160" s="69"/>
      <c r="F160" s="71"/>
    </row>
    <row r="161" spans="2:6" ht="18">
      <c r="B161" s="133" t="str">
        <f>_xlfn.IFERROR("Team Number: "&amp;VLOOKUP("ADV6",$B$21:$F$29,3,FALSE),"")</f>
        <v>Team Number: </v>
      </c>
      <c r="C161" s="134"/>
      <c r="D161" s="134"/>
      <c r="E161" s="134"/>
      <c r="F161" s="135"/>
    </row>
    <row r="162" spans="2:6" ht="18.75">
      <c r="B162" s="115">
        <f>_xlfn.IFERROR(VLOOKUP("ADV6",$B$21:$F$29,4,FALSE),"")</f>
      </c>
      <c r="C162" s="116"/>
      <c r="D162" s="116"/>
      <c r="E162" s="116"/>
      <c r="F162" s="117"/>
    </row>
    <row r="163" spans="2:6" ht="18">
      <c r="B163" s="70">
        <f>_xlfn.IFERROR(VLOOKUP("ADV6",$B$21:$F$29,5,FALSE),"")</f>
      </c>
      <c r="C163" s="69"/>
      <c r="D163" s="69"/>
      <c r="E163" s="69"/>
      <c r="F163" s="71"/>
    </row>
    <row r="164" spans="2:6" ht="18">
      <c r="B164" s="133" t="str">
        <f>_xlfn.IFERROR("Team Number: "&amp;VLOOKUP("ADV7",$B$21:$F$29,3,FALSE),"")</f>
        <v>Team Number: </v>
      </c>
      <c r="C164" s="134"/>
      <c r="D164" s="134"/>
      <c r="E164" s="134"/>
      <c r="F164" s="135"/>
    </row>
    <row r="165" spans="2:6" ht="18.75">
      <c r="B165" s="115">
        <f>_xlfn.IFERROR(VLOOKUP("ADV7",$B$21:$F$29,4,FALSE),"")</f>
      </c>
      <c r="C165" s="116"/>
      <c r="D165" s="116"/>
      <c r="E165" s="116"/>
      <c r="F165" s="117"/>
    </row>
    <row r="166" spans="2:6" ht="18.75" thickBot="1">
      <c r="B166" s="63">
        <f>_xlfn.IFERROR(VLOOKUP("ADV7",$B$21:$F$29,5,FALSE),"")</f>
      </c>
      <c r="C166" s="64"/>
      <c r="D166" s="64"/>
      <c r="E166" s="64"/>
      <c r="F166" s="65"/>
    </row>
    <row r="167" ht="13.5" thickBot="1"/>
    <row r="168" spans="2:6" ht="18">
      <c r="B168" s="136" t="s">
        <v>190</v>
      </c>
      <c r="C168" s="137"/>
      <c r="D168" s="137"/>
      <c r="E168" s="137"/>
      <c r="F168" s="138"/>
    </row>
    <row r="169" spans="2:6" ht="18">
      <c r="B169" s="130" t="str">
        <f>_xlfn.IFERROR("Team Number: "&amp;VLOOKUP("ALT1",$B$21:$F$29,3,FALSE),"")</f>
        <v>Team Number: </v>
      </c>
      <c r="C169" s="131"/>
      <c r="D169" s="131"/>
      <c r="E169" s="131"/>
      <c r="F169" s="132"/>
    </row>
    <row r="170" spans="2:6" ht="18.75">
      <c r="B170" s="115">
        <f>_xlfn.IFERROR(VLOOKUP("ALT1",$B$21:$F$29,4,FALSE),"")</f>
      </c>
      <c r="C170" s="116"/>
      <c r="D170" s="116"/>
      <c r="E170" s="116"/>
      <c r="F170" s="117"/>
    </row>
    <row r="171" spans="2:6" ht="18">
      <c r="B171" s="70">
        <f>_xlfn.IFERROR(VLOOKUP("ALT1",$B$21:$F$29,5,FALSE),"")</f>
      </c>
      <c r="C171" s="69"/>
      <c r="D171" s="69"/>
      <c r="E171" s="69"/>
      <c r="F171" s="71"/>
    </row>
    <row r="172" spans="2:6" ht="18">
      <c r="B172" s="133" t="str">
        <f>_xlfn.IFERROR("Team Number: "&amp;VLOOKUP("ALT2",$B$21:$F$29,3,FALSE),"")</f>
        <v>Team Number: </v>
      </c>
      <c r="C172" s="134"/>
      <c r="D172" s="134"/>
      <c r="E172" s="134"/>
      <c r="F172" s="135"/>
    </row>
    <row r="173" spans="2:6" ht="18.75">
      <c r="B173" s="115">
        <f>_xlfn.IFERROR(VLOOKUP("ALT2",$B$21:$F$29,4,FALSE),"")</f>
      </c>
      <c r="C173" s="116"/>
      <c r="D173" s="116"/>
      <c r="E173" s="116"/>
      <c r="F173" s="117"/>
    </row>
    <row r="174" spans="2:6" ht="18.75" thickBot="1">
      <c r="B174" s="63">
        <f>_xlfn.IFERROR(VLOOKUP("ALT2",$B$21:$F$29,5,FALSE),"")</f>
      </c>
      <c r="C174" s="64"/>
      <c r="D174" s="64"/>
      <c r="E174" s="64"/>
      <c r="F174" s="65"/>
    </row>
  </sheetData>
  <sheetProtection/>
  <mergeCells count="105">
    <mergeCell ref="B101:F101"/>
    <mergeCell ref="B102:F102"/>
    <mergeCell ref="B103:F103"/>
    <mergeCell ref="B104:F104"/>
    <mergeCell ref="B105:F105"/>
    <mergeCell ref="B106:F106"/>
    <mergeCell ref="B93:F93"/>
    <mergeCell ref="B94:F94"/>
    <mergeCell ref="B95:F95"/>
    <mergeCell ref="B96:F96"/>
    <mergeCell ref="B97:F97"/>
    <mergeCell ref="B98:F98"/>
    <mergeCell ref="B70:F70"/>
    <mergeCell ref="B71:F71"/>
    <mergeCell ref="B72:F72"/>
    <mergeCell ref="B73:F73"/>
    <mergeCell ref="B55:F55"/>
    <mergeCell ref="B56:F56"/>
    <mergeCell ref="B58:F58"/>
    <mergeCell ref="B57:F57"/>
    <mergeCell ref="B66:F66"/>
    <mergeCell ref="B61:F61"/>
    <mergeCell ref="B86:F86"/>
    <mergeCell ref="B87:F87"/>
    <mergeCell ref="B88:F88"/>
    <mergeCell ref="B89:F89"/>
    <mergeCell ref="B74:F74"/>
    <mergeCell ref="B31:F31"/>
    <mergeCell ref="B32:F32"/>
    <mergeCell ref="B33:F33"/>
    <mergeCell ref="B34:F34"/>
    <mergeCell ref="B69:F69"/>
    <mergeCell ref="B127:F127"/>
    <mergeCell ref="B128:F128"/>
    <mergeCell ref="B90:F90"/>
    <mergeCell ref="B77:F77"/>
    <mergeCell ref="B78:F78"/>
    <mergeCell ref="B79:F79"/>
    <mergeCell ref="B80:F80"/>
    <mergeCell ref="B81:F81"/>
    <mergeCell ref="B82:F82"/>
    <mergeCell ref="B85:F85"/>
    <mergeCell ref="B119:F119"/>
    <mergeCell ref="B120:F120"/>
    <mergeCell ref="B121:F121"/>
    <mergeCell ref="B122:F122"/>
    <mergeCell ref="B123:F123"/>
    <mergeCell ref="B126:F126"/>
    <mergeCell ref="B53:F53"/>
    <mergeCell ref="B54:F54"/>
    <mergeCell ref="B131:F131"/>
    <mergeCell ref="B110:F110"/>
    <mergeCell ref="B111:F111"/>
    <mergeCell ref="B112:F112"/>
    <mergeCell ref="B113:F113"/>
    <mergeCell ref="B114:F114"/>
    <mergeCell ref="B115:F115"/>
    <mergeCell ref="B118:F118"/>
    <mergeCell ref="B45:F45"/>
    <mergeCell ref="B46:F46"/>
    <mergeCell ref="B47:F47"/>
    <mergeCell ref="B48:F48"/>
    <mergeCell ref="B50:F50"/>
    <mergeCell ref="B49:F49"/>
    <mergeCell ref="B37:F37"/>
    <mergeCell ref="B38:F38"/>
    <mergeCell ref="B39:F39"/>
    <mergeCell ref="B40:F40"/>
    <mergeCell ref="B42:F42"/>
    <mergeCell ref="B41:F41"/>
    <mergeCell ref="B139:F139"/>
    <mergeCell ref="B149:F149"/>
    <mergeCell ref="B150:F150"/>
    <mergeCell ref="B152:F152"/>
    <mergeCell ref="B129:F129"/>
    <mergeCell ref="B130:F130"/>
    <mergeCell ref="B165:F165"/>
    <mergeCell ref="B168:F168"/>
    <mergeCell ref="B169:F169"/>
    <mergeCell ref="B170:F170"/>
    <mergeCell ref="B172:F172"/>
    <mergeCell ref="B134:F134"/>
    <mergeCell ref="B135:F135"/>
    <mergeCell ref="B136:F136"/>
    <mergeCell ref="B137:F137"/>
    <mergeCell ref="B138:F138"/>
    <mergeCell ref="B62:F62"/>
    <mergeCell ref="B63:F63"/>
    <mergeCell ref="B64:F64"/>
    <mergeCell ref="B65:F65"/>
    <mergeCell ref="B173:F173"/>
    <mergeCell ref="B158:F158"/>
    <mergeCell ref="B159:F159"/>
    <mergeCell ref="B161:F161"/>
    <mergeCell ref="B162:F162"/>
    <mergeCell ref="B164:F164"/>
    <mergeCell ref="B156:F156"/>
    <mergeCell ref="B142:F142"/>
    <mergeCell ref="B143:F143"/>
    <mergeCell ref="B144:F144"/>
    <mergeCell ref="B145:F145"/>
    <mergeCell ref="B146:F146"/>
    <mergeCell ref="B153:F153"/>
    <mergeCell ref="B155:F155"/>
    <mergeCell ref="B147:F147"/>
  </mergeCells>
  <conditionalFormatting sqref="B20:F29 B12:F14 D12:F15 B12:C18 B3:F7">
    <cfRule type="notContainsBlanks" priority="364" dxfId="45">
      <formula>LEN(TRIM(B3))&gt;0</formula>
    </cfRule>
  </conditionalFormatting>
  <conditionalFormatting sqref="B10:F11">
    <cfRule type="notContainsBlanks" priority="1" dxfId="45">
      <formula>LEN(TRIM(B10))&gt;0</formula>
    </cfRule>
  </conditionalFormatting>
  <printOptions horizontalCentered="1"/>
  <pageMargins left="0.25" right="0.25" top="0.75" bottom="0.75" header="0.3" footer="0.3"/>
  <pageSetup blackAndWhite="1" fitToHeight="0" fitToWidth="1" horizontalDpi="600" verticalDpi="600" orientation="landscape" r:id="rId2"/>
  <headerFooter scaleWithDoc="0">
    <oddHeader>&amp;L&amp;A&amp;R&amp;D</oddHeader>
    <oddFooter>&amp;L&amp;F&amp;RPage &amp;P of &amp;N Pages</oddFooter>
  </headerFooter>
  <rowBreaks count="6" manualBreakCount="6">
    <brk id="30" max="255" man="1"/>
    <brk id="68" max="255" man="1"/>
    <brk id="76" max="255" man="1"/>
    <brk id="109" max="255" man="1"/>
    <brk id="133" max="255" man="1"/>
    <brk id="141" max="255" man="1"/>
  </rowBreaks>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B1:F385"/>
  <sheetViews>
    <sheetView showGridLines="0" tabSelected="1"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I34" sqref="I34"/>
    </sheetView>
  </sheetViews>
  <sheetFormatPr defaultColWidth="9.140625" defaultRowHeight="12.75" outlineLevelRow="1"/>
  <cols>
    <col min="1" max="1" width="3.57421875" style="0" customWidth="1"/>
    <col min="2" max="2" width="7.28125" style="59" bestFit="1" customWidth="1"/>
    <col min="3" max="3" width="35.421875" style="0" bestFit="1" customWidth="1"/>
    <col min="4" max="4" width="13.00390625" style="62" customWidth="1"/>
    <col min="5" max="5" width="39.140625" style="0" customWidth="1"/>
    <col min="6" max="6" width="35.8515625" style="0" customWidth="1"/>
  </cols>
  <sheetData>
    <row r="1" spans="2:6" ht="24">
      <c r="B1" s="72" t="s">
        <v>50</v>
      </c>
      <c r="C1" s="73" t="s">
        <v>480</v>
      </c>
      <c r="D1" s="74" t="s">
        <v>127</v>
      </c>
      <c r="E1" s="73" t="s">
        <v>28</v>
      </c>
      <c r="F1" s="73" t="s">
        <v>38</v>
      </c>
    </row>
    <row r="2" spans="2:6" ht="12.75">
      <c r="B2" s="66" t="s">
        <v>120</v>
      </c>
      <c r="C2" s="6" t="s">
        <v>124</v>
      </c>
      <c r="D2" s="6">
        <f>_xlfn.IFERROR(VLOOKUP(1,'Robot Performance Analysis'!L7:O119,4,FALSE),"")</f>
      </c>
      <c r="E2" s="6">
        <f>_xlfn.IFERROR(VLOOKUP(D2,'Team Information Input'!$A$2:$E$114,2,FALSE),"")</f>
      </c>
      <c r="F2" s="6">
        <f>_xlfn.IFERROR(IF(VLOOKUP(D2,'Team Information Input'!$A$2:$E$114,5,FALSE)=0,"",VLOOKUP(D2,'Team Information Input'!$A$2:$E$114,5,FALSE)),"")</f>
      </c>
    </row>
    <row r="3" spans="2:6" ht="12.75">
      <c r="B3" s="66" t="s">
        <v>121</v>
      </c>
      <c r="C3" s="6" t="s">
        <v>125</v>
      </c>
      <c r="D3" s="6">
        <f>_xlfn.IFERROR(VLOOKUP(2,'Robot Performance Analysis'!L7:O119,4,FALSE),"")</f>
      </c>
      <c r="E3" s="6">
        <f>_xlfn.IFERROR(VLOOKUP(D3,'Team Information Input'!$A$2:$E$114,2,FALSE),"")</f>
      </c>
      <c r="F3" s="6">
        <f>_xlfn.IFERROR(IF(VLOOKUP(D3,'Team Information Input'!$A$2:$E$114,5,FALSE)=0,"",VLOOKUP(D3,'Team Information Input'!$A$2:$E$114,5,FALSE)),"")</f>
      </c>
    </row>
    <row r="4" spans="2:6" ht="12.75">
      <c r="B4" s="66" t="s">
        <v>122</v>
      </c>
      <c r="C4" s="6" t="s">
        <v>126</v>
      </c>
      <c r="D4" s="6">
        <f>_xlfn.IFERROR(VLOOKUP(3,'Robot Performance Analysis'!L7:O119,4,FALSE),"")</f>
      </c>
      <c r="E4" s="6">
        <f>_xlfn.IFERROR(VLOOKUP(D4,'Team Information Input'!$A$2:$E$114,2,FALSE),"")</f>
      </c>
      <c r="F4" s="6">
        <f>_xlfn.IFERROR(IF(VLOOKUP(D4,'Team Information Input'!$A$2:$E$114,5,FALSE)=0,"",VLOOKUP(D4,'Team Information Input'!$A$2:$E$114,5,FALSE)),"")</f>
      </c>
    </row>
    <row r="5" spans="2:6" ht="7.5" customHeight="1">
      <c r="B5" s="58"/>
      <c r="C5" s="1"/>
      <c r="D5" s="61"/>
      <c r="E5" s="1"/>
      <c r="F5" s="1"/>
    </row>
    <row r="6" spans="2:6" ht="12.75">
      <c r="B6" s="57" t="s">
        <v>82</v>
      </c>
      <c r="C6" s="6" t="s">
        <v>97</v>
      </c>
      <c r="D6" s="76">
        <f>_xlfn.IFERROR(VLOOKUP(B6,'Judged Area Analysis'!T$9:X$121,5,FALSE),"")</f>
      </c>
      <c r="E6" s="76">
        <f>_xlfn.IFERROR(VLOOKUP(D6,'Team Information Input'!$A$2:$E$114,2,FALSE),"")</f>
      </c>
      <c r="F6" s="76">
        <f>_xlfn.IFERROR(IF(VLOOKUP(D6,'Team Information Input'!$A$2:$E$114,5,FALSE)=0,"",VLOOKUP(D6,'Team Information Input'!$A$2:$E$114,5,FALSE)),"")</f>
      </c>
    </row>
    <row r="7" spans="2:6" ht="12.75">
      <c r="B7" s="57" t="s">
        <v>83</v>
      </c>
      <c r="C7" s="6" t="s">
        <v>101</v>
      </c>
      <c r="D7" s="76">
        <f>_xlfn.IFERROR(VLOOKUP(B7,'Judged Area Analysis'!T$9:X$121,5,FALSE),"")</f>
      </c>
      <c r="E7" s="76">
        <f>_xlfn.IFERROR(VLOOKUP(D7,'Team Information Input'!$A$2:$E$114,2,FALSE),"")</f>
      </c>
      <c r="F7" s="76">
        <f>_xlfn.IFERROR(IF(VLOOKUP(D7,'Team Information Input'!$A$2:$E$114,5,FALSE)=0,"",VLOOKUP(D7,'Team Information Input'!$A$2:$E$114,5,FALSE)),"")</f>
      </c>
    </row>
    <row r="8" spans="2:6" ht="12.75">
      <c r="B8" s="57" t="s">
        <v>84</v>
      </c>
      <c r="C8" s="6" t="s">
        <v>102</v>
      </c>
      <c r="D8" s="76">
        <f>_xlfn.IFERROR(VLOOKUP(B8,'Judged Area Analysis'!T$9:X$121,5,FALSE),"")</f>
      </c>
      <c r="E8" s="76">
        <f>_xlfn.IFERROR(VLOOKUP(D8,'Team Information Input'!$A$2:$E$114,2,FALSE),"")</f>
      </c>
      <c r="F8" s="76">
        <f>_xlfn.IFERROR(IF(VLOOKUP(D8,'Team Information Input'!$A$2:$E$114,5,FALSE)=0,"",VLOOKUP(D8,'Team Information Input'!$A$2:$E$114,5,FALSE)),"")</f>
      </c>
    </row>
    <row r="9" spans="2:6" ht="7.5" customHeight="1">
      <c r="B9" s="57"/>
      <c r="C9" s="6"/>
      <c r="D9" s="76"/>
      <c r="E9" s="76"/>
      <c r="F9" s="76"/>
    </row>
    <row r="10" spans="2:6" ht="12.75">
      <c r="B10" s="57" t="s">
        <v>85</v>
      </c>
      <c r="C10" s="6" t="s">
        <v>98</v>
      </c>
      <c r="D10" s="76">
        <f>_xlfn.IFERROR(VLOOKUP(B10,'Judged Area Analysis'!T$9:X$121,5,FALSE),"")</f>
      </c>
      <c r="E10" s="76">
        <f>_xlfn.IFERROR(VLOOKUP(D10,'Team Information Input'!$A$2:$E$114,2,FALSE),"")</f>
      </c>
      <c r="F10" s="76">
        <f>_xlfn.IFERROR(IF(VLOOKUP(D10,'Team Information Input'!$A$2:$E$114,5,FALSE)=0,"",VLOOKUP(D10,'Team Information Input'!$A$2:$E$114,5,FALSE)),"")</f>
      </c>
    </row>
    <row r="11" spans="2:6" ht="12.75">
      <c r="B11" s="57" t="s">
        <v>86</v>
      </c>
      <c r="C11" s="6" t="s">
        <v>103</v>
      </c>
      <c r="D11" s="76">
        <f>_xlfn.IFERROR(VLOOKUP(B11,'Judged Area Analysis'!T$9:X$121,5,FALSE),"")</f>
      </c>
      <c r="E11" s="76">
        <f>_xlfn.IFERROR(VLOOKUP(D11,'Team Information Input'!$A$2:$E$114,2,FALSE),"")</f>
      </c>
      <c r="F11" s="76">
        <f>_xlfn.IFERROR(IF(VLOOKUP(D11,'Team Information Input'!$A$2:$E$114,5,FALSE)=0,"",VLOOKUP(D11,'Team Information Input'!$A$2:$E$114,5,FALSE)),"")</f>
      </c>
    </row>
    <row r="12" spans="2:6" ht="12.75">
      <c r="B12" s="57" t="s">
        <v>87</v>
      </c>
      <c r="C12" s="6" t="s">
        <v>111</v>
      </c>
      <c r="D12" s="76">
        <f>_xlfn.IFERROR(VLOOKUP(B12,'Judged Area Analysis'!T$9:X$121,5,FALSE),"")</f>
      </c>
      <c r="E12" s="76">
        <f>_xlfn.IFERROR(VLOOKUP(D12,'Team Information Input'!$A$2:$E$114,2,FALSE),"")</f>
      </c>
      <c r="F12" s="76">
        <f>_xlfn.IFERROR(IF(VLOOKUP(D12,'Team Information Input'!$A$2:$E$114,5,FALSE)=0,"",VLOOKUP(D12,'Team Information Input'!$A$2:$E$114,5,FALSE)),"")</f>
      </c>
    </row>
    <row r="13" spans="2:6" ht="12.75">
      <c r="B13" s="57" t="s">
        <v>66</v>
      </c>
      <c r="C13" s="6" t="s">
        <v>69</v>
      </c>
      <c r="D13" s="76">
        <f>_xlfn.IFERROR(VLOOKUP(B13,'Judged Area Analysis'!T$9:X$121,5,FALSE),"")</f>
      </c>
      <c r="E13" s="76">
        <f>_xlfn.IFERROR(VLOOKUP(D13,'Team Information Input'!$A$2:$E$114,2,FALSE),"")</f>
      </c>
      <c r="F13" s="76">
        <f>_xlfn.IFERROR(IF(VLOOKUP(D13,'Team Information Input'!$A$2:$E$114,5,FALSE)=0,"",VLOOKUP(D13,'Team Information Input'!$A$2:$E$114,5,FALSE)),"")</f>
      </c>
    </row>
    <row r="14" spans="2:6" ht="12.75">
      <c r="B14" s="57" t="s">
        <v>67</v>
      </c>
      <c r="C14" s="6" t="s">
        <v>68</v>
      </c>
      <c r="D14" s="76">
        <f>_xlfn.IFERROR(VLOOKUP(B14,'Judged Area Analysis'!T$9:X$121,5,FALSE),"")</f>
      </c>
      <c r="E14" s="76">
        <f>_xlfn.IFERROR(VLOOKUP(D14,'Team Information Input'!$A$2:$E$114,2,FALSE),"")</f>
      </c>
      <c r="F14" s="76">
        <f>_xlfn.IFERROR(IF(VLOOKUP(D14,'Team Information Input'!$A$2:$E$114,5,FALSE)=0,"",VLOOKUP(D14,'Team Information Input'!$A$2:$E$114,5,FALSE)),"")</f>
      </c>
    </row>
    <row r="15" spans="2:6" ht="12.75">
      <c r="B15" s="57" t="s">
        <v>71</v>
      </c>
      <c r="C15" s="6" t="s">
        <v>72</v>
      </c>
      <c r="D15" s="76">
        <f>_xlfn.IFERROR(VLOOKUP(B15,'Judged Area Analysis'!T$9:X$121,5,FALSE),"")</f>
      </c>
      <c r="E15" s="76">
        <f>_xlfn.IFERROR(VLOOKUP(D15,'Team Information Input'!$A$2:$E$114,2,FALSE),"")</f>
      </c>
      <c r="F15" s="76">
        <f>_xlfn.IFERROR(IF(VLOOKUP(D15,'Team Information Input'!$A$2:$E$114,5,FALSE)=0,"",VLOOKUP(D15,'Team Information Input'!$A$2:$E$114,5,FALSE)),"")</f>
      </c>
    </row>
    <row r="16" spans="2:6" ht="7.5" customHeight="1">
      <c r="B16" s="58"/>
      <c r="C16" s="1"/>
      <c r="D16" s="61"/>
      <c r="E16" s="1"/>
      <c r="F16" s="1"/>
    </row>
    <row r="17" spans="2:6" ht="12.75">
      <c r="B17" s="57" t="s">
        <v>88</v>
      </c>
      <c r="C17" s="6" t="s">
        <v>99</v>
      </c>
      <c r="D17" s="76">
        <f>_xlfn.IFERROR(VLOOKUP(B17,'Judged Area Analysis'!T$9:X$121,5,FALSE),"")</f>
      </c>
      <c r="E17" s="76">
        <f>_xlfn.IFERROR(VLOOKUP(D17,'Team Information Input'!$A$2:$E$114,2,FALSE),"")</f>
      </c>
      <c r="F17" s="76">
        <f>_xlfn.IFERROR(IF(VLOOKUP(D17,'Team Information Input'!$A$2:$E$114,5,FALSE)=0,"",VLOOKUP(D17,'Team Information Input'!$A$2:$E$114,5,FALSE)),"")</f>
      </c>
    </row>
    <row r="18" spans="2:6" ht="12.75">
      <c r="B18" s="57" t="s">
        <v>89</v>
      </c>
      <c r="C18" s="6" t="s">
        <v>104</v>
      </c>
      <c r="D18" s="76">
        <f>_xlfn.IFERROR(VLOOKUP(B18,'Judged Area Analysis'!T$9:X$121,5,FALSE),"")</f>
      </c>
      <c r="E18" s="76">
        <f>_xlfn.IFERROR(VLOOKUP(D18,'Team Information Input'!$A$2:$E$114,2,FALSE),"")</f>
      </c>
      <c r="F18" s="76">
        <f>_xlfn.IFERROR(IF(VLOOKUP(D18,'Team Information Input'!$A$2:$E$114,5,FALSE)=0,"",VLOOKUP(D18,'Team Information Input'!$A$2:$E$114,5,FALSE)),"")</f>
      </c>
    </row>
    <row r="19" spans="2:6" ht="12.75">
      <c r="B19" s="57" t="s">
        <v>90</v>
      </c>
      <c r="C19" s="6" t="s">
        <v>112</v>
      </c>
      <c r="D19" s="76">
        <f>_xlfn.IFERROR(VLOOKUP(B19,'Judged Area Analysis'!T$9:X$121,5,FALSE),"")</f>
      </c>
      <c r="E19" s="76">
        <f>_xlfn.IFERROR(VLOOKUP(D19,'Team Information Input'!$A$2:$E$114,2,FALSE),"")</f>
      </c>
      <c r="F19" s="76">
        <f>_xlfn.IFERROR(IF(VLOOKUP(D19,'Team Information Input'!$A$2:$E$114,5,FALSE)=0,"",VLOOKUP(D19,'Team Information Input'!$A$2:$E$114,5,FALSE)),"")</f>
      </c>
    </row>
    <row r="20" spans="2:6" ht="12.75">
      <c r="B20" s="57" t="s">
        <v>73</v>
      </c>
      <c r="C20" s="6" t="s">
        <v>74</v>
      </c>
      <c r="D20" s="76">
        <f>_xlfn.IFERROR(VLOOKUP(B20,'Judged Area Analysis'!T$9:X$121,5,FALSE),"")</f>
      </c>
      <c r="E20" s="76">
        <f>_xlfn.IFERROR(VLOOKUP(D20,'Team Information Input'!$A$2:$E$114,2,FALSE),"")</f>
      </c>
      <c r="F20" s="76">
        <f>_xlfn.IFERROR(IF(VLOOKUP(D20,'Team Information Input'!$A$2:$E$114,5,FALSE)=0,"",VLOOKUP(D20,'Team Information Input'!$A$2:$E$114,5,FALSE)),"")</f>
      </c>
    </row>
    <row r="21" spans="2:6" ht="12.75">
      <c r="B21" s="57" t="s">
        <v>75</v>
      </c>
      <c r="C21" s="6" t="s">
        <v>76</v>
      </c>
      <c r="D21" s="76">
        <f>_xlfn.IFERROR(VLOOKUP(B21,'Judged Area Analysis'!T$9:X$121,5,FALSE),"")</f>
      </c>
      <c r="E21" s="76">
        <f>_xlfn.IFERROR(VLOOKUP(D21,'Team Information Input'!$A$2:$E$114,2,FALSE),"")</f>
      </c>
      <c r="F21" s="76">
        <f>_xlfn.IFERROR(IF(VLOOKUP(D21,'Team Information Input'!$A$2:$E$114,5,FALSE)=0,"",VLOOKUP(D21,'Team Information Input'!$A$2:$E$114,5,FALSE)),"")</f>
      </c>
    </row>
    <row r="22" spans="2:6" ht="12.75">
      <c r="B22" s="57" t="s">
        <v>77</v>
      </c>
      <c r="C22" s="6" t="s">
        <v>78</v>
      </c>
      <c r="D22" s="76">
        <f>_xlfn.IFERROR(VLOOKUP(B22,'Judged Area Analysis'!T$9:X$121,5,FALSE),"")</f>
      </c>
      <c r="E22" s="76">
        <f>_xlfn.IFERROR(VLOOKUP(D22,'Team Information Input'!$A$2:$E$114,2,FALSE),"")</f>
      </c>
      <c r="F22" s="76">
        <f>_xlfn.IFERROR(IF(VLOOKUP(D22,'Team Information Input'!$A$2:$E$114,5,FALSE)=0,"",VLOOKUP(D22,'Team Information Input'!$A$2:$E$114,5,FALSE)),"")</f>
      </c>
    </row>
    <row r="23" spans="2:6" ht="7.5" customHeight="1">
      <c r="B23" s="58"/>
      <c r="C23" s="1"/>
      <c r="D23" s="61"/>
      <c r="E23" s="1"/>
      <c r="F23" s="1"/>
    </row>
    <row r="24" spans="2:6" ht="12.75">
      <c r="B24" s="57" t="s">
        <v>91</v>
      </c>
      <c r="C24" s="6" t="s">
        <v>100</v>
      </c>
      <c r="D24" s="76">
        <f>_xlfn.IFERROR(VLOOKUP(B24,'Judged Area Analysis'!T$9:X$121,5,FALSE),"")</f>
      </c>
      <c r="E24" s="76">
        <f>_xlfn.IFERROR(VLOOKUP(D24,'Team Information Input'!$A$2:$E$114,2,FALSE),"")</f>
      </c>
      <c r="F24" s="76">
        <f>_xlfn.IFERROR(IF(VLOOKUP(D24,'Team Information Input'!$A$2:$E$114,5,FALSE)=0,"",VLOOKUP(D24,'Team Information Input'!$A$2:$E$114,5,FALSE)),"")</f>
      </c>
    </row>
    <row r="25" spans="2:6" ht="12.75">
      <c r="B25" s="57" t="s">
        <v>92</v>
      </c>
      <c r="C25" s="6" t="s">
        <v>105</v>
      </c>
      <c r="D25" s="76">
        <f>_xlfn.IFERROR(VLOOKUP(B25,'Judged Area Analysis'!T$9:X$121,5,FALSE),"")</f>
      </c>
      <c r="E25" s="76">
        <f>_xlfn.IFERROR(VLOOKUP(D25,'Team Information Input'!$A$2:$E$114,2,FALSE),"")</f>
      </c>
      <c r="F25" s="76">
        <f>_xlfn.IFERROR(IF(VLOOKUP(D25,'Team Information Input'!$A$2:$E$114,5,FALSE)=0,"",VLOOKUP(D25,'Team Information Input'!$A$2:$E$114,5,FALSE)),"")</f>
      </c>
    </row>
    <row r="26" spans="2:6" ht="12.75">
      <c r="B26" s="57" t="s">
        <v>93</v>
      </c>
      <c r="C26" s="6" t="s">
        <v>113</v>
      </c>
      <c r="D26" s="76">
        <f>_xlfn.IFERROR(VLOOKUP(B26,'Judged Area Analysis'!T$9:X$121,5,FALSE),"")</f>
      </c>
      <c r="E26" s="76">
        <f>_xlfn.IFERROR(VLOOKUP(D26,'Team Information Input'!$A$2:$E$114,2,FALSE),"")</f>
      </c>
      <c r="F26" s="76">
        <f>_xlfn.IFERROR(IF(VLOOKUP(D26,'Team Information Input'!$A$2:$E$114,5,FALSE)=0,"",VLOOKUP(D26,'Team Information Input'!$A$2:$E$114,5,FALSE)),"")</f>
      </c>
    </row>
    <row r="27" spans="2:6" ht="12.75">
      <c r="B27" s="57" t="s">
        <v>61</v>
      </c>
      <c r="C27" s="6" t="s">
        <v>62</v>
      </c>
      <c r="D27" s="76">
        <f>_xlfn.IFERROR(VLOOKUP(B27,'Judged Area Analysis'!T$9:X$121,5,FALSE),"")</f>
      </c>
      <c r="E27" s="76">
        <f>_xlfn.IFERROR(VLOOKUP(D27,'Team Information Input'!$A$2:$E$114,2,FALSE),"")</f>
      </c>
      <c r="F27" s="76">
        <f>_xlfn.IFERROR(IF(VLOOKUP(D27,'Team Information Input'!$A$2:$E$114,5,FALSE)=0,"",VLOOKUP(D27,'Team Information Input'!$A$2:$E$114,5,FALSE)),"")</f>
      </c>
    </row>
    <row r="28" spans="2:6" ht="12.75">
      <c r="B28" s="57" t="s">
        <v>63</v>
      </c>
      <c r="C28" s="6" t="s">
        <v>64</v>
      </c>
      <c r="D28" s="76">
        <f>_xlfn.IFERROR(VLOOKUP(B28,'Judged Area Analysis'!T$9:X$121,5,FALSE),"")</f>
      </c>
      <c r="E28" s="76">
        <f>_xlfn.IFERROR(VLOOKUP(D28,'Team Information Input'!$A$2:$E$114,2,FALSE),"")</f>
      </c>
      <c r="F28" s="76">
        <f>_xlfn.IFERROR(IF(VLOOKUP(D28,'Team Information Input'!$A$2:$E$114,5,FALSE)=0,"",VLOOKUP(D28,'Team Information Input'!$A$2:$E$114,5,FALSE)),"")</f>
      </c>
    </row>
    <row r="29" spans="2:6" ht="12.75">
      <c r="B29" s="57" t="s">
        <v>65</v>
      </c>
      <c r="C29" s="6" t="s">
        <v>70</v>
      </c>
      <c r="D29" s="76">
        <f>_xlfn.IFERROR(VLOOKUP(B29,'Judged Area Analysis'!T$9:X$121,5,FALSE),"")</f>
      </c>
      <c r="E29" s="76">
        <f>_xlfn.IFERROR(VLOOKUP(D29,'Team Information Input'!$A$2:$E$114,2,FALSE),"")</f>
      </c>
      <c r="F29" s="76">
        <f>_xlfn.IFERROR(IF(VLOOKUP(D29,'Team Information Input'!$A$2:$E$114,5,FALSE)=0,"",VLOOKUP(D29,'Team Information Input'!$A$2:$E$114,5,FALSE)),"")</f>
      </c>
    </row>
    <row r="30" spans="2:6" ht="7.5" customHeight="1">
      <c r="B30" s="58"/>
      <c r="C30" s="1"/>
      <c r="D30" s="61"/>
      <c r="E30" s="1"/>
      <c r="F30" s="1"/>
    </row>
    <row r="31" spans="2:6" ht="12.75">
      <c r="B31" s="72" t="s">
        <v>50</v>
      </c>
      <c r="C31" s="73" t="s">
        <v>49</v>
      </c>
      <c r="D31" s="74" t="s">
        <v>118</v>
      </c>
      <c r="E31" s="73" t="s">
        <v>166</v>
      </c>
      <c r="F31" s="73" t="s">
        <v>119</v>
      </c>
    </row>
    <row r="32" spans="2:6" ht="12.75">
      <c r="B32" s="75" t="s">
        <v>463</v>
      </c>
      <c r="C32" s="76" t="s">
        <v>458</v>
      </c>
      <c r="D32" s="76">
        <f>_xlfn.IFERROR(VLOOKUP(B32,'Judged Area Analysis'!T$9:X$121,5,FALSE),"")</f>
      </c>
      <c r="E32" s="76">
        <f>_xlfn.IFERROR(VLOOKUP(D32,'Team Information Input'!$A$2:$E$114,2,FALSE),"")</f>
      </c>
      <c r="F32" s="76">
        <f>_xlfn.IFERROR(IF(VLOOKUP(D32,'Team Information Input'!$A$2:$E$114,5,FALSE)=0,"",VLOOKUP(D32,'Team Information Input'!$A$2:$E$114,5,FALSE)),"")</f>
      </c>
    </row>
    <row r="33" spans="2:6" ht="12.75">
      <c r="B33" s="75" t="s">
        <v>464</v>
      </c>
      <c r="C33" s="76" t="s">
        <v>461</v>
      </c>
      <c r="D33" s="76">
        <f>_xlfn.IFERROR(VLOOKUP(B33,'Judged Area Analysis'!T$9:X$121,5,FALSE),"")</f>
      </c>
      <c r="E33" s="76">
        <f>_xlfn.IFERROR(VLOOKUP(D33,'Team Information Input'!$A$2:$E$114,2,FALSE),"")</f>
      </c>
      <c r="F33" s="76">
        <f>_xlfn.IFERROR(IF(VLOOKUP(D33,'Team Information Input'!$A$2:$E$114,5,FALSE)=0,"",VLOOKUP(D33,'Team Information Input'!$A$2:$E$114,5,FALSE)),"")</f>
      </c>
    </row>
    <row r="34" spans="2:6" ht="12.75">
      <c r="B34" s="75" t="s">
        <v>94</v>
      </c>
      <c r="C34" s="76" t="s">
        <v>107</v>
      </c>
      <c r="D34" s="76">
        <f>_xlfn.IFERROR(VLOOKUP(B34,'Judged Area Analysis'!T$9:X$121,5,FALSE),"")</f>
      </c>
      <c r="E34" s="76">
        <f>_xlfn.IFERROR(VLOOKUP(D34,'Team Information Input'!$A$2:$E$114,2,FALSE),"")</f>
      </c>
      <c r="F34" s="76">
        <f>_xlfn.IFERROR(IF(VLOOKUP(D34,'Team Information Input'!$A$2:$E$114,5,FALSE)=0,"",VLOOKUP(D34,'Team Information Input'!$A$2:$E$114,5,FALSE)),"")</f>
      </c>
    </row>
    <row r="35" spans="2:6" ht="12.75">
      <c r="B35" s="75" t="s">
        <v>95</v>
      </c>
      <c r="C35" s="76" t="s">
        <v>106</v>
      </c>
      <c r="D35" s="76">
        <f>_xlfn.IFERROR(VLOOKUP(B35,'Judged Area Analysis'!T$9:X$121,5,FALSE),"")</f>
      </c>
      <c r="E35" s="76">
        <f>_xlfn.IFERROR(VLOOKUP(D35,'Team Information Input'!$A$2:$E$114,2,FALSE),"")</f>
      </c>
      <c r="F35" s="76">
        <f>_xlfn.IFERROR(IF(VLOOKUP(D35,'Team Information Input'!$A$2:$E$114,5,FALSE)=0,"",VLOOKUP(D35,'Team Information Input'!$A$2:$E$114,5,FALSE)),"")</f>
      </c>
    </row>
    <row r="36" spans="2:6" ht="12.75">
      <c r="B36" s="75" t="s">
        <v>96</v>
      </c>
      <c r="C36" s="76" t="s">
        <v>114</v>
      </c>
      <c r="D36" s="76">
        <f>_xlfn.IFERROR(VLOOKUP(B36,'Judged Area Analysis'!T$9:X$121,5,FALSE),"")</f>
      </c>
      <c r="E36" s="76">
        <f>_xlfn.IFERROR(VLOOKUP(D36,'Team Information Input'!$A$2:$E$114,2,FALSE),"")</f>
      </c>
      <c r="F36" s="76">
        <f>_xlfn.IFERROR(IF(VLOOKUP(D36,'Team Information Input'!$A$2:$E$114,5,FALSE)=0,"",VLOOKUP(D36,'Team Information Input'!$A$2:$E$114,5,FALSE)),"")</f>
      </c>
    </row>
    <row r="37" spans="2:6" ht="12.75">
      <c r="B37" s="75" t="s">
        <v>171</v>
      </c>
      <c r="C37" s="76" t="s">
        <v>227</v>
      </c>
      <c r="D37" s="76">
        <f>_xlfn.IFERROR(VLOOKUP(B37,'Judged Area Analysis'!T$9:X$121,5,FALSE),"")</f>
      </c>
      <c r="E37" s="76">
        <f>_xlfn.IFERROR(VLOOKUP(D37,'Team Information Input'!$A$2:$E$114,2,FALSE),"")</f>
      </c>
      <c r="F37" s="76">
        <f>_xlfn.IFERROR(IF(VLOOKUP(D37,'Team Information Input'!$A$2:$E$114,5,FALSE)=0,"",VLOOKUP(D37,'Team Information Input'!$A$2:$E$114,5,FALSE)),"")</f>
      </c>
    </row>
    <row r="38" spans="2:6" ht="12.75">
      <c r="B38" s="75" t="s">
        <v>172</v>
      </c>
      <c r="C38" s="76" t="s">
        <v>228</v>
      </c>
      <c r="D38" s="76">
        <f>_xlfn.IFERROR(VLOOKUP(B38,'Judged Area Analysis'!T$9:X$121,5,FALSE),"")</f>
      </c>
      <c r="E38" s="76">
        <f>_xlfn.IFERROR(VLOOKUP(D38,'Team Information Input'!$A$2:$E$114,2,FALSE),"")</f>
      </c>
      <c r="F38" s="76">
        <f>_xlfn.IFERROR(IF(VLOOKUP(D38,'Team Information Input'!$A$2:$E$114,5,FALSE)=0,"",VLOOKUP(D38,'Team Information Input'!$A$2:$E$114,5,FALSE)),"")</f>
      </c>
    </row>
    <row r="39" spans="2:6" ht="12.75">
      <c r="B39" s="75" t="s">
        <v>116</v>
      </c>
      <c r="C39" s="76" t="s">
        <v>108</v>
      </c>
      <c r="D39" s="76">
        <f>_xlfn.IFERROR(VLOOKUP(B39,'Judged Area Analysis'!T$9:X$121,5,FALSE),"")</f>
      </c>
      <c r="E39" s="76">
        <f>_xlfn.IFERROR(VLOOKUP(D39,'Team Information Input'!$A$2:$E$114,2,FALSE),"")</f>
      </c>
      <c r="F39" s="76">
        <f>_xlfn.IFERROR(IF(VLOOKUP(D39,'Team Information Input'!$A$2:$E$114,5,FALSE)=0,"",VLOOKUP(D39,'Team Information Input'!$A$2:$E$114,5,FALSE)),"")</f>
      </c>
    </row>
    <row r="40" spans="2:6" ht="12.75" customHeight="1">
      <c r="B40" s="75" t="s">
        <v>81</v>
      </c>
      <c r="C40" s="76" t="s">
        <v>52</v>
      </c>
      <c r="D40" s="77">
        <f>_xlfn.IFERROR(VLOOKUP(B40,'Judged Area Analysis'!T$9:X$121,5,FALSE),"")</f>
      </c>
      <c r="E40" s="77" t="s">
        <v>167</v>
      </c>
      <c r="F40" s="77">
        <f>_xlfn.IFERROR(VLOOKUP(D40,'Team Information Input'!$A$2:$E$114,2,FALSE),"")</f>
      </c>
    </row>
    <row r="41" spans="2:6" ht="12.75">
      <c r="B41" s="75" t="s">
        <v>80</v>
      </c>
      <c r="C41" s="76" t="s">
        <v>109</v>
      </c>
      <c r="D41" s="77">
        <f>_xlfn.IFERROR(VLOOKUP(B41,'Judged Area Analysis'!T$9:X$121,5,FALSE),"")</f>
      </c>
      <c r="E41" s="77" t="s">
        <v>168</v>
      </c>
      <c r="F41" s="77">
        <f>_xlfn.IFERROR(VLOOKUP(D41,'Team Information Input'!$A$2:$E$114,2,FALSE),"")</f>
      </c>
    </row>
    <row r="42" spans="2:6" ht="12.75">
      <c r="B42" s="75" t="s">
        <v>79</v>
      </c>
      <c r="C42" s="76" t="s">
        <v>110</v>
      </c>
      <c r="D42" s="77">
        <f>_xlfn.IFERROR(VLOOKUP(B42,'Judged Area Analysis'!T$9:X$121,5,FALSE),"")</f>
      </c>
      <c r="E42" s="77" t="s">
        <v>169</v>
      </c>
      <c r="F42" s="77">
        <f>_xlfn.IFERROR(VLOOKUP(D42,'Team Information Input'!$A$2:$E$114,2,FALSE),"")</f>
      </c>
    </row>
    <row r="43" spans="2:6" ht="7.5" customHeight="1">
      <c r="B43" s="58"/>
      <c r="C43" s="1"/>
      <c r="D43" s="61"/>
      <c r="E43" s="1"/>
      <c r="F43" s="1"/>
    </row>
    <row r="44" spans="2:6" ht="24">
      <c r="B44" s="72" t="s">
        <v>50</v>
      </c>
      <c r="C44" s="73" t="s">
        <v>149</v>
      </c>
      <c r="D44" s="74" t="s">
        <v>127</v>
      </c>
      <c r="E44" s="73" t="s">
        <v>28</v>
      </c>
      <c r="F44" s="73" t="s">
        <v>38</v>
      </c>
    </row>
    <row r="45" spans="2:6" ht="12.75">
      <c r="B45" s="75" t="s">
        <v>142</v>
      </c>
      <c r="C45" s="76" t="s">
        <v>150</v>
      </c>
      <c r="D45" s="76">
        <f>_xlfn.IFERROR(VLOOKUP("ADV1",'Judged Area Analysis'!V$9:X$121,3,FALSE),"")</f>
      </c>
      <c r="E45" s="76">
        <f>_xlfn.IFERROR(VLOOKUP(D45,'Team Information Input'!$A$2:$E$114,2,FALSE),"")</f>
      </c>
      <c r="F45" s="76">
        <f>_xlfn.IFERROR(IF(VLOOKUP(D45,'Team Information Input'!$A$2:$E$114,5,FALSE)=0,"",VLOOKUP(D45,'Team Information Input'!$A$2:$E$114,5,FALSE)),"")</f>
      </c>
    </row>
    <row r="46" spans="2:6" ht="12.75">
      <c r="B46" s="75" t="s">
        <v>143</v>
      </c>
      <c r="C46" s="76" t="s">
        <v>151</v>
      </c>
      <c r="D46" s="76">
        <f>_xlfn.IFERROR(VLOOKUP("ADV2",'Judged Area Analysis'!V$9:X$121,3,FALSE),"")</f>
      </c>
      <c r="E46" s="76">
        <f>_xlfn.IFERROR(VLOOKUP(D46,'Team Information Input'!$A$2:$E$114,2,FALSE),"")</f>
      </c>
      <c r="F46" s="76">
        <f>_xlfn.IFERROR(IF(VLOOKUP(D46,'Team Information Input'!$A$2:$E$114,5,FALSE)=0,"",VLOOKUP(D46,'Team Information Input'!$A$2:$E$114,5,FALSE)),"")</f>
      </c>
    </row>
    <row r="47" spans="2:6" ht="12.75">
      <c r="B47" s="75" t="s">
        <v>144</v>
      </c>
      <c r="C47" s="76" t="s">
        <v>152</v>
      </c>
      <c r="D47" s="76">
        <f>_xlfn.IFERROR(VLOOKUP("ADV3",'Judged Area Analysis'!V$9:X$121,3,FALSE),"")</f>
      </c>
      <c r="E47" s="76">
        <f>_xlfn.IFERROR(VLOOKUP(D47,'Team Information Input'!$A$2:$E$114,2,FALSE),"")</f>
      </c>
      <c r="F47" s="76">
        <f>_xlfn.IFERROR(IF(VLOOKUP(D47,'Team Information Input'!$A$2:$E$114,5,FALSE)=0,"",VLOOKUP(D47,'Team Information Input'!$A$2:$E$114,5,FALSE)),"")</f>
      </c>
    </row>
    <row r="48" spans="2:6" ht="12.75">
      <c r="B48" s="75" t="s">
        <v>145</v>
      </c>
      <c r="C48" s="76" t="s">
        <v>153</v>
      </c>
      <c r="D48" s="76">
        <f>_xlfn.IFERROR(VLOOKUP("ADV4",'Judged Area Analysis'!V$9:X$121,3,FALSE),"")</f>
      </c>
      <c r="E48" s="76">
        <f>_xlfn.IFERROR(VLOOKUP(D48,'Team Information Input'!$A$2:$E$114,2,FALSE),"")</f>
      </c>
      <c r="F48" s="76">
        <f>_xlfn.IFERROR(IF(VLOOKUP(D48,'Team Information Input'!$A$2:$E$114,5,FALSE)=0,"",VLOOKUP(D48,'Team Information Input'!$A$2:$E$114,5,FALSE)),"")</f>
      </c>
    </row>
    <row r="49" spans="2:6" ht="12.75">
      <c r="B49" s="75" t="s">
        <v>146</v>
      </c>
      <c r="C49" s="76" t="s">
        <v>154</v>
      </c>
      <c r="D49" s="76">
        <f>_xlfn.IFERROR(VLOOKUP("ADV5",'Judged Area Analysis'!V$9:X$121,3,FALSE),"")</f>
      </c>
      <c r="E49" s="76">
        <f>_xlfn.IFERROR(VLOOKUP(D49,'Team Information Input'!$A$2:$E$114,2,FALSE),"")</f>
      </c>
      <c r="F49" s="76">
        <f>_xlfn.IFERROR(IF(VLOOKUP(D49,'Team Information Input'!$A$2:$E$114,5,FALSE)=0,"",VLOOKUP(D49,'Team Information Input'!$A$2:$E$114,5,FALSE)),"")</f>
      </c>
    </row>
    <row r="50" spans="2:6" ht="12.75">
      <c r="B50" s="75" t="s">
        <v>147</v>
      </c>
      <c r="C50" s="76" t="s">
        <v>155</v>
      </c>
      <c r="D50" s="76">
        <f>_xlfn.IFERROR(VLOOKUP("ADV6",'Judged Area Analysis'!V$9:X$121,3,FALSE),"")</f>
      </c>
      <c r="E50" s="76">
        <f>_xlfn.IFERROR(VLOOKUP(D50,'Team Information Input'!$A$2:$E$114,2,FALSE),"")</f>
      </c>
      <c r="F50" s="76">
        <f>_xlfn.IFERROR(IF(VLOOKUP(D50,'Team Information Input'!$A$2:$E$114,5,FALSE)=0,"",VLOOKUP(D50,'Team Information Input'!$A$2:$E$114,5,FALSE)),"")</f>
      </c>
    </row>
    <row r="51" spans="2:6" ht="12.75">
      <c r="B51" s="75" t="s">
        <v>148</v>
      </c>
      <c r="C51" s="76" t="s">
        <v>156</v>
      </c>
      <c r="D51" s="76">
        <f>_xlfn.IFERROR(VLOOKUP("ADV7",'Judged Area Analysis'!V$9:X$121,3,FALSE),"")</f>
      </c>
      <c r="E51" s="76">
        <f>_xlfn.IFERROR(VLOOKUP(D51,'Team Information Input'!$A$2:$E$114,2,FALSE),"")</f>
      </c>
      <c r="F51" s="76">
        <f>_xlfn.IFERROR(IF(VLOOKUP(D51,'Team Information Input'!$A$2:$E$114,5,FALSE)=0,"",VLOOKUP(D51,'Team Information Input'!$A$2:$E$114,5,FALSE)),"")</f>
      </c>
    </row>
    <row r="52" spans="2:6" ht="7.5" customHeight="1">
      <c r="B52" s="58"/>
      <c r="C52" s="1"/>
      <c r="D52" s="61"/>
      <c r="E52" s="1"/>
      <c r="F52" s="1"/>
    </row>
    <row r="53" spans="2:6" ht="12.75">
      <c r="B53" s="75" t="s">
        <v>158</v>
      </c>
      <c r="C53" s="76" t="s">
        <v>160</v>
      </c>
      <c r="D53" s="76">
        <f>_xlfn.IFERROR(VLOOKUP("ALT1",'Judged Area Analysis'!V$9:X$121,3,FALSE),"")</f>
      </c>
      <c r="E53" s="76">
        <f>_xlfn.IFERROR(VLOOKUP(D53,'Team Information Input'!$A$2:$E$114,2,FALSE),"")</f>
      </c>
      <c r="F53" s="76">
        <f>_xlfn.IFERROR(IF(VLOOKUP(D53,'Team Information Input'!$A$2:$E$114,5,FALSE)=0,"",VLOOKUP(D53,'Team Information Input'!$A$2:$E$114,5,FALSE)),"")</f>
      </c>
    </row>
    <row r="54" spans="2:6" ht="12.75">
      <c r="B54" s="75" t="s">
        <v>159</v>
      </c>
      <c r="C54" s="76" t="s">
        <v>161</v>
      </c>
      <c r="D54" s="76">
        <f>_xlfn.IFERROR(VLOOKUP("ALT2",'Judged Area Analysis'!V$9:X$121,3,FALSE),"")</f>
      </c>
      <c r="E54" s="76">
        <f>_xlfn.IFERROR(VLOOKUP(D54,'Team Information Input'!$A$2:$E$114,2,FALSE),"")</f>
      </c>
      <c r="F54" s="76">
        <f>_xlfn.IFERROR(IF(VLOOKUP(D54,'Team Information Input'!$A$2:$E$114,5,FALSE)=0,"",VLOOKUP(D54,'Team Information Input'!$A$2:$E$114,5,FALSE)),"")</f>
      </c>
    </row>
    <row r="55" spans="2:6" ht="13.5" thickBot="1">
      <c r="B55" s="58"/>
      <c r="C55" s="1"/>
      <c r="D55" s="61"/>
      <c r="E55" s="1"/>
      <c r="F55" s="1"/>
    </row>
    <row r="56" spans="2:6" ht="20.25">
      <c r="B56" s="118" t="s">
        <v>182</v>
      </c>
      <c r="C56" s="119"/>
      <c r="D56" s="119"/>
      <c r="E56" s="119"/>
      <c r="F56" s="120"/>
    </row>
    <row r="57" spans="2:6" ht="157.5" customHeight="1">
      <c r="B57" s="121" t="s">
        <v>183</v>
      </c>
      <c r="C57" s="122"/>
      <c r="D57" s="122"/>
      <c r="E57" s="122"/>
      <c r="F57" s="123"/>
    </row>
    <row r="58" spans="2:6" ht="12.75">
      <c r="B58" s="124"/>
      <c r="C58" s="125"/>
      <c r="D58" s="125"/>
      <c r="E58" s="125"/>
      <c r="F58" s="126"/>
    </row>
    <row r="59" spans="2:6" ht="18.75">
      <c r="B59" s="142" t="s">
        <v>184</v>
      </c>
      <c r="C59" s="143"/>
      <c r="D59" s="143"/>
      <c r="E59" s="143"/>
      <c r="F59" s="144"/>
    </row>
    <row r="60" spans="2:6" ht="18.75" thickBot="1">
      <c r="B60" s="63"/>
      <c r="C60" s="64"/>
      <c r="D60" s="64"/>
      <c r="E60" s="64"/>
      <c r="F60" s="65"/>
    </row>
    <row r="61" spans="2:6" ht="13.5" thickBot="1">
      <c r="B61" s="62"/>
      <c r="C61" s="62"/>
      <c r="E61" s="62"/>
      <c r="F61" s="62"/>
    </row>
    <row r="62" spans="2:6" ht="20.25">
      <c r="B62" s="118" t="s">
        <v>132</v>
      </c>
      <c r="C62" s="119"/>
      <c r="D62" s="119"/>
      <c r="E62" s="119"/>
      <c r="F62" s="120"/>
    </row>
    <row r="63" spans="2:6" ht="88.5" customHeight="1" outlineLevel="1">
      <c r="B63" s="121" t="s">
        <v>185</v>
      </c>
      <c r="C63" s="122"/>
      <c r="D63" s="122"/>
      <c r="E63" s="122"/>
      <c r="F63" s="123"/>
    </row>
    <row r="64" spans="2:6" ht="73.5" customHeight="1" outlineLevel="1">
      <c r="B64" s="124"/>
      <c r="C64" s="125"/>
      <c r="D64" s="125"/>
      <c r="E64" s="125"/>
      <c r="F64" s="126"/>
    </row>
    <row r="65" spans="2:6" ht="18" outlineLevel="1">
      <c r="B65" s="127" t="s">
        <v>186</v>
      </c>
      <c r="C65" s="128"/>
      <c r="D65" s="128"/>
      <c r="E65" s="128"/>
      <c r="F65" s="129"/>
    </row>
    <row r="66" spans="2:6" ht="18.75" outlineLevel="1">
      <c r="B66" s="115" t="str">
        <f>_xlfn.IFERROR(VLOOKUP("OV",$B$2:$F$54,4,FALSE),"")</f>
        <v>I Volunteer 2Much</v>
      </c>
      <c r="C66" s="116"/>
      <c r="D66" s="116"/>
      <c r="E66" s="116"/>
      <c r="F66" s="117"/>
    </row>
    <row r="67" spans="2:6" ht="18" outlineLevel="1">
      <c r="B67" s="130" t="str">
        <f>_xlfn.IFERROR("From Team Number: "&amp;VLOOKUP("OV",$B$2:$F$54,3,FALSE),"")</f>
        <v>From Team Number: </v>
      </c>
      <c r="C67" s="131"/>
      <c r="D67" s="131"/>
      <c r="E67" s="131"/>
      <c r="F67" s="132"/>
    </row>
    <row r="68" spans="2:6" ht="18.75" outlineLevel="1" thickBot="1">
      <c r="B68" s="63">
        <f>_xlfn.IFERROR(VLOOKUP("OV",$B$2:$F$54,5,FALSE),"")</f>
      </c>
      <c r="C68" s="64"/>
      <c r="D68" s="64"/>
      <c r="E68" s="64"/>
      <c r="F68" s="65"/>
    </row>
    <row r="69" spans="2:6" ht="13.5" thickBot="1">
      <c r="B69" s="62"/>
      <c r="C69" s="62"/>
      <c r="E69" s="62"/>
      <c r="F69" s="62"/>
    </row>
    <row r="70" spans="2:6" ht="20.25">
      <c r="B70" s="118" t="s">
        <v>109</v>
      </c>
      <c r="C70" s="119"/>
      <c r="D70" s="119"/>
      <c r="E70" s="119"/>
      <c r="F70" s="120"/>
    </row>
    <row r="71" spans="2:6" ht="67.5" customHeight="1" outlineLevel="1">
      <c r="B71" s="121" t="s">
        <v>139</v>
      </c>
      <c r="C71" s="122"/>
      <c r="D71" s="122"/>
      <c r="E71" s="122"/>
      <c r="F71" s="123"/>
    </row>
    <row r="72" spans="2:6" ht="85.5" customHeight="1" outlineLevel="1">
      <c r="B72" s="124"/>
      <c r="C72" s="125"/>
      <c r="D72" s="125"/>
      <c r="E72" s="125"/>
      <c r="F72" s="126"/>
    </row>
    <row r="73" spans="2:6" ht="18" outlineLevel="1">
      <c r="B73" s="127" t="s">
        <v>133</v>
      </c>
      <c r="C73" s="128"/>
      <c r="D73" s="128"/>
      <c r="E73" s="128"/>
      <c r="F73" s="129"/>
    </row>
    <row r="74" spans="2:6" ht="18.75" outlineLevel="1">
      <c r="B74" s="115" t="str">
        <f>_xlfn.IFERROR(VLOOKUP("AM",$B$2:$F$54,4,FALSE),"")</f>
        <v>Awesome Coach</v>
      </c>
      <c r="C74" s="116"/>
      <c r="D74" s="116"/>
      <c r="E74" s="116"/>
      <c r="F74" s="117"/>
    </row>
    <row r="75" spans="2:6" ht="18" outlineLevel="1">
      <c r="B75" s="130" t="str">
        <f>_xlfn.IFERROR("From Team Number: "&amp;VLOOKUP("AM",$B$2:$F$54,3,FALSE),"")</f>
        <v>From Team Number: </v>
      </c>
      <c r="C75" s="131"/>
      <c r="D75" s="131"/>
      <c r="E75" s="131"/>
      <c r="F75" s="132"/>
    </row>
    <row r="76" spans="2:6" ht="18.75" outlineLevel="1" thickBot="1">
      <c r="B76" s="63">
        <f>_xlfn.IFERROR(VLOOKUP("AM",$B$2:$F$54,5,FALSE),"")</f>
      </c>
      <c r="C76" s="64"/>
      <c r="D76" s="64"/>
      <c r="E76" s="64"/>
      <c r="F76" s="65"/>
    </row>
    <row r="77" spans="2:6" ht="13.5" thickBot="1">
      <c r="B77" s="62"/>
      <c r="C77" s="62"/>
      <c r="E77" s="62"/>
      <c r="F77" s="62"/>
    </row>
    <row r="78" spans="2:6" ht="20.25">
      <c r="B78" s="118" t="s">
        <v>110</v>
      </c>
      <c r="C78" s="119"/>
      <c r="D78" s="119"/>
      <c r="E78" s="119"/>
      <c r="F78" s="120"/>
    </row>
    <row r="79" spans="2:6" ht="42" customHeight="1" outlineLevel="1">
      <c r="B79" s="121" t="s">
        <v>140</v>
      </c>
      <c r="C79" s="122"/>
      <c r="D79" s="122"/>
      <c r="E79" s="122"/>
      <c r="F79" s="123"/>
    </row>
    <row r="80" spans="2:6" ht="103.5" customHeight="1" outlineLevel="1">
      <c r="B80" s="124"/>
      <c r="C80" s="125"/>
      <c r="D80" s="125"/>
      <c r="E80" s="125"/>
      <c r="F80" s="126"/>
    </row>
    <row r="81" spans="2:6" ht="18" outlineLevel="1">
      <c r="B81" s="127" t="s">
        <v>134</v>
      </c>
      <c r="C81" s="128"/>
      <c r="D81" s="128"/>
      <c r="E81" s="128"/>
      <c r="F81" s="129"/>
    </row>
    <row r="82" spans="2:6" ht="18.75" outlineLevel="1">
      <c r="B82" s="115" t="str">
        <f>_xlfn.IFERROR(VLOOKUP("YM",$B$2:$F$54,4,FALSE),"")</f>
        <v>Best Youth Mentor Ever</v>
      </c>
      <c r="C82" s="116"/>
      <c r="D82" s="116"/>
      <c r="E82" s="116"/>
      <c r="F82" s="117"/>
    </row>
    <row r="83" spans="2:6" ht="18" outlineLevel="1">
      <c r="B83" s="130" t="str">
        <f>_xlfn.IFERROR("From Team Number: "&amp;VLOOKUP("YM",$B$2:$F$54,3,FALSE),"")</f>
        <v>From Team Number: </v>
      </c>
      <c r="C83" s="131"/>
      <c r="D83" s="131"/>
      <c r="E83" s="131"/>
      <c r="F83" s="132"/>
    </row>
    <row r="84" spans="2:6" ht="18.75" outlineLevel="1" thickBot="1">
      <c r="B84" s="63">
        <f>_xlfn.IFERROR(VLOOKUP("YM",$B$2:$F$54,5,FALSE),"")</f>
      </c>
      <c r="C84" s="64"/>
      <c r="D84" s="64"/>
      <c r="E84" s="64"/>
      <c r="F84" s="65"/>
    </row>
    <row r="85" spans="2:6" ht="13.5" thickBot="1">
      <c r="B85" s="62"/>
      <c r="C85" s="62"/>
      <c r="E85" s="62"/>
      <c r="F85" s="62"/>
    </row>
    <row r="86" spans="2:6" ht="20.25">
      <c r="B86" s="118" t="s">
        <v>226</v>
      </c>
      <c r="C86" s="119"/>
      <c r="D86" s="119"/>
      <c r="E86" s="119"/>
      <c r="F86" s="120"/>
    </row>
    <row r="87" spans="2:6" ht="76.5" customHeight="1" thickBot="1">
      <c r="B87" s="121" t="s">
        <v>181</v>
      </c>
      <c r="C87" s="122"/>
      <c r="D87" s="122"/>
      <c r="E87" s="122"/>
      <c r="F87" s="123"/>
    </row>
    <row r="88" spans="2:6" ht="20.25">
      <c r="B88" s="118" t="s">
        <v>126</v>
      </c>
      <c r="C88" s="119"/>
      <c r="D88" s="119"/>
      <c r="E88" s="119"/>
      <c r="F88" s="120"/>
    </row>
    <row r="89" spans="2:6" ht="18" outlineLevel="1">
      <c r="B89" s="121"/>
      <c r="C89" s="122"/>
      <c r="D89" s="122"/>
      <c r="E89" s="122"/>
      <c r="F89" s="123"/>
    </row>
    <row r="90" spans="2:6" ht="12.75" outlineLevel="1">
      <c r="B90" s="124"/>
      <c r="C90" s="125"/>
      <c r="D90" s="125"/>
      <c r="E90" s="125"/>
      <c r="F90" s="126"/>
    </row>
    <row r="91" spans="2:6" ht="18" outlineLevel="1">
      <c r="B91" s="127" t="s">
        <v>191</v>
      </c>
      <c r="C91" s="128"/>
      <c r="D91" s="128"/>
      <c r="E91" s="128"/>
      <c r="F91" s="129"/>
    </row>
    <row r="92" spans="2:6" ht="18" outlineLevel="1">
      <c r="B92" s="130" t="str">
        <f>_xlfn.IFERROR("Team Number: "&amp;VLOOKUP("RP3",$B$2:$F$54,3,FALSE),"")</f>
        <v>Team Number: </v>
      </c>
      <c r="C92" s="131"/>
      <c r="D92" s="131"/>
      <c r="E92" s="131"/>
      <c r="F92" s="132"/>
    </row>
    <row r="93" spans="2:6" ht="18.75" outlineLevel="1">
      <c r="B93" s="115">
        <f>_xlfn.IFERROR(VLOOKUP("RP3",$B$2:$F$54,4,FALSE),"")</f>
      </c>
      <c r="C93" s="116"/>
      <c r="D93" s="116"/>
      <c r="E93" s="116"/>
      <c r="F93" s="117"/>
    </row>
    <row r="94" spans="2:6" ht="18.75" outlineLevel="1" thickBot="1">
      <c r="B94" s="63">
        <f>_xlfn.IFERROR(VLOOKUP("RP3",$B$2:$F$54,5,FALSE),"")</f>
      </c>
      <c r="C94" s="64"/>
      <c r="D94" s="64"/>
      <c r="E94" s="64"/>
      <c r="F94" s="65"/>
    </row>
    <row r="95" spans="2:6" ht="13.5" thickBot="1">
      <c r="B95" s="62"/>
      <c r="C95" s="62"/>
      <c r="E95" s="62"/>
      <c r="F95" s="62"/>
    </row>
    <row r="96" spans="2:6" ht="20.25">
      <c r="B96" s="118" t="s">
        <v>125</v>
      </c>
      <c r="C96" s="119"/>
      <c r="D96" s="119"/>
      <c r="E96" s="119"/>
      <c r="F96" s="120"/>
    </row>
    <row r="97" spans="2:6" ht="18" outlineLevel="1">
      <c r="B97" s="121"/>
      <c r="C97" s="122"/>
      <c r="D97" s="122"/>
      <c r="E97" s="122"/>
      <c r="F97" s="123"/>
    </row>
    <row r="98" spans="2:6" ht="12.75" outlineLevel="1">
      <c r="B98" s="124"/>
      <c r="C98" s="125"/>
      <c r="D98" s="125"/>
      <c r="E98" s="125"/>
      <c r="F98" s="126"/>
    </row>
    <row r="99" spans="2:6" ht="18" outlineLevel="1">
      <c r="B99" s="127" t="s">
        <v>192</v>
      </c>
      <c r="C99" s="128"/>
      <c r="D99" s="128"/>
      <c r="E99" s="128"/>
      <c r="F99" s="129"/>
    </row>
    <row r="100" spans="2:6" ht="18" outlineLevel="1">
      <c r="B100" s="130" t="str">
        <f>_xlfn.IFERROR("Team Number: "&amp;VLOOKUP("RP2",$B$2:$F$54,3,FALSE),"")</f>
        <v>Team Number: </v>
      </c>
      <c r="C100" s="131"/>
      <c r="D100" s="131"/>
      <c r="E100" s="131"/>
      <c r="F100" s="132"/>
    </row>
    <row r="101" spans="2:6" ht="18.75" outlineLevel="1">
      <c r="B101" s="115">
        <f>_xlfn.IFERROR(VLOOKUP("RP2",$B$2:$F$54,4,FALSE),"")</f>
      </c>
      <c r="C101" s="116"/>
      <c r="D101" s="116"/>
      <c r="E101" s="116"/>
      <c r="F101" s="117"/>
    </row>
    <row r="102" spans="2:6" ht="18.75" outlineLevel="1" thickBot="1">
      <c r="B102" s="63">
        <f>_xlfn.IFERROR(VLOOKUP("RP2",$B$2:$F$54,5,FALSE),"")</f>
      </c>
      <c r="C102" s="64"/>
      <c r="D102" s="64"/>
      <c r="E102" s="64"/>
      <c r="F102" s="65"/>
    </row>
    <row r="103" spans="2:6" ht="13.5" thickBot="1">
      <c r="B103" s="62"/>
      <c r="C103" s="62"/>
      <c r="E103" s="62"/>
      <c r="F103" s="62"/>
    </row>
    <row r="104" spans="2:6" ht="20.25">
      <c r="B104" s="118" t="s">
        <v>124</v>
      </c>
      <c r="C104" s="119"/>
      <c r="D104" s="119"/>
      <c r="E104" s="119"/>
      <c r="F104" s="120"/>
    </row>
    <row r="105" spans="2:6" ht="18">
      <c r="B105" s="121"/>
      <c r="C105" s="122"/>
      <c r="D105" s="122"/>
      <c r="E105" s="122"/>
      <c r="F105" s="123"/>
    </row>
    <row r="106" spans="2:6" ht="12.75">
      <c r="B106" s="124"/>
      <c r="C106" s="125"/>
      <c r="D106" s="125"/>
      <c r="E106" s="125"/>
      <c r="F106" s="126"/>
    </row>
    <row r="107" spans="2:6" ht="18">
      <c r="B107" s="127" t="str">
        <f>"With a high score of "&amp;MAX('Robot Performance Analysis'!J7:J119)&amp;", the recipient of the 1st Place Robot Performance Award is:"</f>
        <v>With a high score of 0, the recipient of the 1st Place Robot Performance Award is:</v>
      </c>
      <c r="C107" s="128"/>
      <c r="D107" s="128"/>
      <c r="E107" s="128"/>
      <c r="F107" s="129"/>
    </row>
    <row r="108" spans="2:6" ht="18">
      <c r="B108" s="130" t="str">
        <f>_xlfn.IFERROR("Team Number: "&amp;VLOOKUP("RP1",$B$2:$F$54,3,FALSE),"")</f>
        <v>Team Number: </v>
      </c>
      <c r="C108" s="131"/>
      <c r="D108" s="131"/>
      <c r="E108" s="131"/>
      <c r="F108" s="132"/>
    </row>
    <row r="109" spans="2:6" ht="18.75">
      <c r="B109" s="115">
        <f>_xlfn.IFERROR(VLOOKUP("RP1",$B$2:$F$54,4,FALSE),"")</f>
      </c>
      <c r="C109" s="116"/>
      <c r="D109" s="116"/>
      <c r="E109" s="116"/>
      <c r="F109" s="117"/>
    </row>
    <row r="110" spans="2:6" ht="18.75" thickBot="1">
      <c r="B110" s="63">
        <f>_xlfn.IFERROR(VLOOKUP("RP1",$B$2:$F$54,5,FALSE),"")</f>
      </c>
      <c r="C110" s="64"/>
      <c r="D110" s="64"/>
      <c r="E110" s="64"/>
      <c r="F110" s="65"/>
    </row>
    <row r="111" spans="2:6" ht="13.5" thickBot="1">
      <c r="B111" s="62"/>
      <c r="C111" s="62"/>
      <c r="E111" s="62"/>
      <c r="F111" s="62"/>
    </row>
    <row r="112" spans="2:6" ht="20.25">
      <c r="B112" s="118" t="s">
        <v>193</v>
      </c>
      <c r="C112" s="119"/>
      <c r="D112" s="119"/>
      <c r="E112" s="119"/>
      <c r="F112" s="120"/>
    </row>
    <row r="113" spans="2:6" ht="148.5" customHeight="1" thickBot="1">
      <c r="B113" s="145" t="s">
        <v>179</v>
      </c>
      <c r="C113" s="146"/>
      <c r="D113" s="146"/>
      <c r="E113" s="146"/>
      <c r="F113" s="147"/>
    </row>
    <row r="114" spans="2:6" ht="13.5" thickBot="1">
      <c r="B114" s="62"/>
      <c r="C114" s="62"/>
      <c r="E114" s="62"/>
      <c r="F114" s="62"/>
    </row>
    <row r="115" spans="2:6" ht="20.25">
      <c r="B115" s="118" t="s">
        <v>69</v>
      </c>
      <c r="C115" s="119"/>
      <c r="D115" s="119"/>
      <c r="E115" s="119"/>
      <c r="F115" s="120"/>
    </row>
    <row r="116" spans="2:6" ht="51" customHeight="1" outlineLevel="1">
      <c r="B116" s="121" t="s">
        <v>451</v>
      </c>
      <c r="C116" s="122"/>
      <c r="D116" s="122"/>
      <c r="E116" s="122"/>
      <c r="F116" s="123"/>
    </row>
    <row r="117" spans="2:6" ht="12.75" outlineLevel="1">
      <c r="B117" s="124"/>
      <c r="C117" s="125"/>
      <c r="D117" s="125"/>
      <c r="E117" s="125"/>
      <c r="F117" s="126"/>
    </row>
    <row r="118" spans="2:6" ht="18" outlineLevel="1">
      <c r="B118" s="127" t="s">
        <v>196</v>
      </c>
      <c r="C118" s="128"/>
      <c r="D118" s="128"/>
      <c r="E118" s="128"/>
      <c r="F118" s="129"/>
    </row>
    <row r="119" spans="2:6" ht="18" outlineLevel="1">
      <c r="B119" s="130" t="str">
        <f>_xlfn.IFERROR("Team Number: "&amp;VLOOKUP("MD",$B$2:$F$54,3,FALSE),"")</f>
        <v>Team Number: </v>
      </c>
      <c r="C119" s="131"/>
      <c r="D119" s="131"/>
      <c r="E119" s="131"/>
      <c r="F119" s="132"/>
    </row>
    <row r="120" spans="2:6" ht="18.75" outlineLevel="1">
      <c r="B120" s="115">
        <f>_xlfn.IFERROR(VLOOKUP("MD",$B$2:$F$54,4,FALSE),"")</f>
      </c>
      <c r="C120" s="116"/>
      <c r="D120" s="116"/>
      <c r="E120" s="116"/>
      <c r="F120" s="117"/>
    </row>
    <row r="121" spans="2:6" ht="18.75" outlineLevel="1" thickBot="1">
      <c r="B121" s="63">
        <f>_xlfn.IFERROR(VLOOKUP("MD",$B$2:$F$54,5,FALSE),"")</f>
      </c>
      <c r="C121" s="64"/>
      <c r="D121" s="64"/>
      <c r="E121" s="64"/>
      <c r="F121" s="65"/>
    </row>
    <row r="122" spans="2:6" ht="13.5" thickBot="1">
      <c r="B122" s="62"/>
      <c r="C122" s="62"/>
      <c r="E122" s="62"/>
      <c r="F122" s="62"/>
    </row>
    <row r="123" spans="2:6" ht="20.25">
      <c r="B123" s="118" t="s">
        <v>68</v>
      </c>
      <c r="C123" s="119"/>
      <c r="D123" s="119"/>
      <c r="E123" s="119"/>
      <c r="F123" s="120"/>
    </row>
    <row r="124" spans="2:6" ht="43.5" customHeight="1" outlineLevel="1">
      <c r="B124" s="121" t="s">
        <v>452</v>
      </c>
      <c r="C124" s="122"/>
      <c r="D124" s="122"/>
      <c r="E124" s="122"/>
      <c r="F124" s="123"/>
    </row>
    <row r="125" spans="2:6" ht="33.75" customHeight="1" outlineLevel="1">
      <c r="B125" s="124"/>
      <c r="C125" s="125"/>
      <c r="D125" s="125"/>
      <c r="E125" s="125"/>
      <c r="F125" s="126"/>
    </row>
    <row r="126" spans="2:6" ht="18" outlineLevel="1">
      <c r="B126" s="127" t="s">
        <v>197</v>
      </c>
      <c r="C126" s="128"/>
      <c r="D126" s="128"/>
      <c r="E126" s="128"/>
      <c r="F126" s="129"/>
    </row>
    <row r="127" spans="2:6" ht="18" outlineLevel="1">
      <c r="B127" s="130" t="str">
        <f>_xlfn.IFERROR("Team Number: "&amp;VLOOKUP("PG",$B$2:$F$54,3,FALSE),"")</f>
        <v>Team Number: </v>
      </c>
      <c r="C127" s="131"/>
      <c r="D127" s="131"/>
      <c r="E127" s="131"/>
      <c r="F127" s="132"/>
    </row>
    <row r="128" spans="2:6" ht="18.75" outlineLevel="1">
      <c r="B128" s="115">
        <f>_xlfn.IFERROR(VLOOKUP("PG",$B$2:$F$54,4,FALSE),"")</f>
      </c>
      <c r="C128" s="116"/>
      <c r="D128" s="116"/>
      <c r="E128" s="116"/>
      <c r="F128" s="117"/>
    </row>
    <row r="129" spans="2:6" ht="18.75" outlineLevel="1" thickBot="1">
      <c r="B129" s="63">
        <f>_xlfn.IFERROR(VLOOKUP("PG",$B$2:$F$54,5,FALSE),"")</f>
      </c>
      <c r="C129" s="64"/>
      <c r="D129" s="64"/>
      <c r="E129" s="64"/>
      <c r="F129" s="65"/>
    </row>
    <row r="130" spans="2:6" ht="13.5" thickBot="1">
      <c r="B130" s="62"/>
      <c r="C130" s="62"/>
      <c r="E130" s="62"/>
      <c r="F130" s="62"/>
    </row>
    <row r="131" spans="2:6" ht="20.25">
      <c r="B131" s="118" t="s">
        <v>195</v>
      </c>
      <c r="C131" s="119"/>
      <c r="D131" s="119"/>
      <c r="E131" s="119"/>
      <c r="F131" s="120"/>
    </row>
    <row r="132" spans="2:6" ht="42" customHeight="1" outlineLevel="1">
      <c r="B132" s="121" t="s">
        <v>453</v>
      </c>
      <c r="C132" s="122"/>
      <c r="D132" s="122"/>
      <c r="E132" s="122"/>
      <c r="F132" s="123"/>
    </row>
    <row r="133" spans="2:6" ht="12.75" outlineLevel="1">
      <c r="B133" s="124"/>
      <c r="C133" s="125"/>
      <c r="D133" s="125"/>
      <c r="E133" s="125"/>
      <c r="F133" s="126"/>
    </row>
    <row r="134" spans="2:6" ht="18" outlineLevel="1">
      <c r="B134" s="127" t="s">
        <v>198</v>
      </c>
      <c r="C134" s="128"/>
      <c r="D134" s="128"/>
      <c r="E134" s="128"/>
      <c r="F134" s="129"/>
    </row>
    <row r="135" spans="2:6" ht="18" outlineLevel="1">
      <c r="B135" s="130" t="str">
        <f>_xlfn.IFERROR("Team Number: "&amp;VLOOKUP("SI",$B$2:$F$54,3,FALSE),"")</f>
        <v>Team Number: </v>
      </c>
      <c r="C135" s="131"/>
      <c r="D135" s="131"/>
      <c r="E135" s="131"/>
      <c r="F135" s="132"/>
    </row>
    <row r="136" spans="2:6" ht="18.75" outlineLevel="1">
      <c r="B136" s="115">
        <f>_xlfn.IFERROR(VLOOKUP("SI",$B$2:$F$54,4,FALSE),"")</f>
      </c>
      <c r="C136" s="116"/>
      <c r="D136" s="116"/>
      <c r="E136" s="116"/>
      <c r="F136" s="117"/>
    </row>
    <row r="137" spans="2:6" ht="18.75" outlineLevel="1" thickBot="1">
      <c r="B137" s="63">
        <f>_xlfn.IFERROR(VLOOKUP("SI",$B$2:$F$54,5,FALSE),"")</f>
      </c>
      <c r="C137" s="64"/>
      <c r="D137" s="64"/>
      <c r="E137" s="64"/>
      <c r="F137" s="65"/>
    </row>
    <row r="138" spans="2:6" ht="13.5" thickBot="1">
      <c r="B138" s="62"/>
      <c r="C138" s="62"/>
      <c r="E138" s="62"/>
      <c r="F138" s="62"/>
    </row>
    <row r="139" spans="2:6" ht="20.25">
      <c r="B139" s="118" t="s">
        <v>111</v>
      </c>
      <c r="C139" s="119"/>
      <c r="D139" s="119"/>
      <c r="E139" s="119"/>
      <c r="F139" s="120"/>
    </row>
    <row r="140" spans="2:6" ht="18" outlineLevel="1">
      <c r="B140" s="121"/>
      <c r="C140" s="122"/>
      <c r="D140" s="122"/>
      <c r="E140" s="122"/>
      <c r="F140" s="123"/>
    </row>
    <row r="141" spans="2:6" ht="53.25" customHeight="1" outlineLevel="1">
      <c r="B141" s="124"/>
      <c r="C141" s="125"/>
      <c r="D141" s="125"/>
      <c r="E141" s="125"/>
      <c r="F141" s="126"/>
    </row>
    <row r="142" spans="2:6" ht="18" outlineLevel="1">
      <c r="B142" s="127" t="s">
        <v>194</v>
      </c>
      <c r="C142" s="128"/>
      <c r="D142" s="128"/>
      <c r="E142" s="128"/>
      <c r="F142" s="129"/>
    </row>
    <row r="143" spans="2:6" ht="18" outlineLevel="1">
      <c r="B143" s="130" t="str">
        <f>_xlfn.IFERROR("Team Number: "&amp;VLOOKUP("RD3",$B$2:$F$54,3,FALSE),"")</f>
        <v>Team Number: </v>
      </c>
      <c r="C143" s="131"/>
      <c r="D143" s="131"/>
      <c r="E143" s="131"/>
      <c r="F143" s="132"/>
    </row>
    <row r="144" spans="2:6" ht="18.75" outlineLevel="1">
      <c r="B144" s="115">
        <f>_xlfn.IFERROR(VLOOKUP("rd3",$B$2:$F$54,4,FALSE),"")</f>
      </c>
      <c r="C144" s="116"/>
      <c r="D144" s="116"/>
      <c r="E144" s="116"/>
      <c r="F144" s="117"/>
    </row>
    <row r="145" spans="2:6" ht="18.75" outlineLevel="1" thickBot="1">
      <c r="B145" s="63">
        <f>_xlfn.IFERROR(VLOOKUP("rd3",$B$2:$F$54,5,FALSE),"")</f>
      </c>
      <c r="C145" s="64"/>
      <c r="D145" s="64"/>
      <c r="E145" s="64"/>
      <c r="F145" s="65"/>
    </row>
    <row r="146" spans="2:6" ht="13.5" thickBot="1">
      <c r="B146" s="62"/>
      <c r="C146" s="62"/>
      <c r="E146" s="62"/>
      <c r="F146" s="62"/>
    </row>
    <row r="147" spans="2:6" ht="20.25">
      <c r="B147" s="118" t="s">
        <v>103</v>
      </c>
      <c r="C147" s="119"/>
      <c r="D147" s="119"/>
      <c r="E147" s="119"/>
      <c r="F147" s="120"/>
    </row>
    <row r="148" spans="2:6" ht="18" outlineLevel="1">
      <c r="B148" s="121"/>
      <c r="C148" s="122"/>
      <c r="D148" s="122"/>
      <c r="E148" s="122"/>
      <c r="F148" s="123"/>
    </row>
    <row r="149" spans="2:6" ht="48" customHeight="1" outlineLevel="1">
      <c r="B149" s="124"/>
      <c r="C149" s="125"/>
      <c r="D149" s="125"/>
      <c r="E149" s="125"/>
      <c r="F149" s="126"/>
    </row>
    <row r="150" spans="2:6" ht="18" outlineLevel="1">
      <c r="B150" s="127" t="s">
        <v>199</v>
      </c>
      <c r="C150" s="128"/>
      <c r="D150" s="128"/>
      <c r="E150" s="128"/>
      <c r="F150" s="129"/>
    </row>
    <row r="151" spans="2:6" ht="18" outlineLevel="1">
      <c r="B151" s="130" t="str">
        <f>_xlfn.IFERROR("Team Number: "&amp;VLOOKUP("rd2",$B$2:$F$54,3,FALSE),"")</f>
        <v>Team Number: </v>
      </c>
      <c r="C151" s="131"/>
      <c r="D151" s="131"/>
      <c r="E151" s="131"/>
      <c r="F151" s="132"/>
    </row>
    <row r="152" spans="2:6" ht="18.75" outlineLevel="1">
      <c r="B152" s="115">
        <f>_xlfn.IFERROR(VLOOKUP("rd2",$B$2:$F$54,4,FALSE),"")</f>
      </c>
      <c r="C152" s="116"/>
      <c r="D152" s="116"/>
      <c r="E152" s="116"/>
      <c r="F152" s="117"/>
    </row>
    <row r="153" spans="2:6" ht="18.75" outlineLevel="1" thickBot="1">
      <c r="B153" s="63">
        <f>_xlfn.IFERROR(VLOOKUP("rd2",$B$2:$F$54,5,FALSE),"")</f>
      </c>
      <c r="C153" s="64"/>
      <c r="D153" s="64"/>
      <c r="E153" s="64"/>
      <c r="F153" s="65"/>
    </row>
    <row r="154" spans="2:6" ht="13.5" thickBot="1">
      <c r="B154" s="62"/>
      <c r="C154" s="62"/>
      <c r="E154" s="62"/>
      <c r="F154" s="62"/>
    </row>
    <row r="155" spans="2:6" ht="20.25">
      <c r="B155" s="118" t="s">
        <v>200</v>
      </c>
      <c r="C155" s="119"/>
      <c r="D155" s="119"/>
      <c r="E155" s="119"/>
      <c r="F155" s="120"/>
    </row>
    <row r="156" spans="2:6" ht="18">
      <c r="B156" s="121"/>
      <c r="C156" s="122"/>
      <c r="D156" s="122"/>
      <c r="E156" s="122"/>
      <c r="F156" s="123"/>
    </row>
    <row r="157" spans="2:6" ht="12.75">
      <c r="B157" s="124"/>
      <c r="C157" s="125"/>
      <c r="D157" s="125"/>
      <c r="E157" s="125"/>
      <c r="F157" s="126"/>
    </row>
    <row r="158" spans="2:6" ht="18">
      <c r="B158" s="127" t="s">
        <v>201</v>
      </c>
      <c r="C158" s="128"/>
      <c r="D158" s="128"/>
      <c r="E158" s="128"/>
      <c r="F158" s="129"/>
    </row>
    <row r="159" spans="2:6" ht="18">
      <c r="B159" s="130" t="str">
        <f>_xlfn.IFERROR("Team Number: "&amp;VLOOKUP("rd1",$B$2:$F$54,3,FALSE),"")</f>
        <v>Team Number: </v>
      </c>
      <c r="C159" s="131"/>
      <c r="D159" s="131"/>
      <c r="E159" s="131"/>
      <c r="F159" s="132"/>
    </row>
    <row r="160" spans="2:6" ht="18.75">
      <c r="B160" s="115">
        <f>_xlfn.IFERROR(VLOOKUP("rd1",$B$2:$F$54,4,FALSE),"")</f>
      </c>
      <c r="C160" s="116"/>
      <c r="D160" s="116"/>
      <c r="E160" s="116"/>
      <c r="F160" s="117"/>
    </row>
    <row r="161" spans="2:6" ht="18.75" thickBot="1">
      <c r="B161" s="63">
        <f>_xlfn.IFERROR(VLOOKUP("rd1",$B$2:$F$54,5,FALSE),"")</f>
      </c>
      <c r="C161" s="64"/>
      <c r="D161" s="64"/>
      <c r="E161" s="64"/>
      <c r="F161" s="65"/>
    </row>
    <row r="162" spans="2:6" ht="13.5" thickBot="1">
      <c r="B162" s="62"/>
      <c r="C162" s="62"/>
      <c r="E162" s="62"/>
      <c r="F162" s="62"/>
    </row>
    <row r="163" spans="2:6" ht="20.25" customHeight="1">
      <c r="B163" s="118" t="s">
        <v>59</v>
      </c>
      <c r="C163" s="119"/>
      <c r="D163" s="119"/>
      <c r="E163" s="119"/>
      <c r="F163" s="120"/>
    </row>
    <row r="164" spans="2:6" ht="99" customHeight="1" thickBot="1">
      <c r="B164" s="145" t="s">
        <v>180</v>
      </c>
      <c r="C164" s="146"/>
      <c r="D164" s="146"/>
      <c r="E164" s="146"/>
      <c r="F164" s="147"/>
    </row>
    <row r="165" spans="2:6" ht="13.5" thickBot="1">
      <c r="B165" s="62"/>
      <c r="C165" s="62"/>
      <c r="E165" s="62"/>
      <c r="F165" s="62"/>
    </row>
    <row r="166" spans="2:6" ht="20.25">
      <c r="B166" s="118" t="s">
        <v>78</v>
      </c>
      <c r="C166" s="119"/>
      <c r="D166" s="119"/>
      <c r="E166" s="119"/>
      <c r="F166" s="120"/>
    </row>
    <row r="167" spans="2:6" ht="45" customHeight="1" outlineLevel="1">
      <c r="B167" s="121" t="s">
        <v>456</v>
      </c>
      <c r="C167" s="122"/>
      <c r="D167" s="122"/>
      <c r="E167" s="122"/>
      <c r="F167" s="123"/>
    </row>
    <row r="168" spans="2:6" ht="12.75" outlineLevel="1">
      <c r="B168" s="124"/>
      <c r="C168" s="125"/>
      <c r="D168" s="125"/>
      <c r="E168" s="125"/>
      <c r="F168" s="126"/>
    </row>
    <row r="169" spans="2:6" ht="18" outlineLevel="1">
      <c r="B169" s="127" t="s">
        <v>202</v>
      </c>
      <c r="C169" s="128"/>
      <c r="D169" s="128"/>
      <c r="E169" s="128"/>
      <c r="F169" s="129"/>
    </row>
    <row r="170" spans="2:6" ht="18" outlineLevel="1">
      <c r="B170" s="130" t="str">
        <f>_xlfn.IFERROR("Team Number: "&amp;VLOOKUP("P",$B$2:$F$54,3,FALSE),"")</f>
        <v>Team Number: </v>
      </c>
      <c r="C170" s="131"/>
      <c r="D170" s="131"/>
      <c r="E170" s="131"/>
      <c r="F170" s="132"/>
    </row>
    <row r="171" spans="2:6" ht="18.75" outlineLevel="1">
      <c r="B171" s="115">
        <f>_xlfn.IFERROR(VLOOKUP("P",$B$2:$F$54,4,FALSE),"")</f>
      </c>
      <c r="C171" s="116"/>
      <c r="D171" s="116"/>
      <c r="E171" s="116"/>
      <c r="F171" s="117"/>
    </row>
    <row r="172" spans="2:6" ht="18.75" outlineLevel="1" thickBot="1">
      <c r="B172" s="63">
        <f>_xlfn.IFERROR(VLOOKUP("P",$B$2:$F$54,5,FALSE),"")</f>
      </c>
      <c r="C172" s="64"/>
      <c r="D172" s="64"/>
      <c r="E172" s="64"/>
      <c r="F172" s="65"/>
    </row>
    <row r="173" spans="2:6" ht="13.5" thickBot="1">
      <c r="B173" s="62"/>
      <c r="C173" s="62"/>
      <c r="E173" s="62"/>
      <c r="F173" s="62"/>
    </row>
    <row r="174" spans="2:6" ht="20.25" customHeight="1">
      <c r="B174" s="118" t="s">
        <v>76</v>
      </c>
      <c r="C174" s="119"/>
      <c r="D174" s="119"/>
      <c r="E174" s="119"/>
      <c r="F174" s="120"/>
    </row>
    <row r="175" spans="2:6" ht="45" customHeight="1" outlineLevel="1">
      <c r="B175" s="121" t="s">
        <v>455</v>
      </c>
      <c r="C175" s="122"/>
      <c r="D175" s="122"/>
      <c r="E175" s="122"/>
      <c r="F175" s="123"/>
    </row>
    <row r="176" spans="2:6" ht="12.75" outlineLevel="1">
      <c r="B176" s="124"/>
      <c r="C176" s="125"/>
      <c r="D176" s="125"/>
      <c r="E176" s="125"/>
      <c r="F176" s="126"/>
    </row>
    <row r="177" spans="2:6" ht="18" customHeight="1" outlineLevel="1">
      <c r="B177" s="127" t="s">
        <v>203</v>
      </c>
      <c r="C177" s="128"/>
      <c r="D177" s="128"/>
      <c r="E177" s="128"/>
      <c r="F177" s="129"/>
    </row>
    <row r="178" spans="2:6" ht="18" customHeight="1" outlineLevel="1">
      <c r="B178" s="130" t="str">
        <f>_xlfn.IFERROR("Team Number: "&amp;VLOOKUP("IS",$B$2:$F$54,3,FALSE),"")</f>
        <v>Team Number: </v>
      </c>
      <c r="C178" s="131"/>
      <c r="D178" s="131"/>
      <c r="E178" s="131"/>
      <c r="F178" s="132"/>
    </row>
    <row r="179" spans="2:6" ht="18.75" customHeight="1" outlineLevel="1">
      <c r="B179" s="115">
        <f>_xlfn.IFERROR(VLOOKUP("IS",$B$2:$F$54,4,FALSE),"")</f>
      </c>
      <c r="C179" s="116"/>
      <c r="D179" s="116"/>
      <c r="E179" s="116"/>
      <c r="F179" s="117"/>
    </row>
    <row r="180" spans="2:6" ht="18.75" outlineLevel="1" thickBot="1">
      <c r="B180" s="63">
        <f>_xlfn.IFERROR(VLOOKUP("IS",$B$2:$F$54,5,FALSE),"")</f>
      </c>
      <c r="C180" s="64"/>
      <c r="D180" s="64"/>
      <c r="E180" s="64"/>
      <c r="F180" s="65"/>
    </row>
    <row r="181" spans="2:6" ht="13.5" thickBot="1">
      <c r="B181" s="62"/>
      <c r="C181" s="62"/>
      <c r="E181" s="62"/>
      <c r="F181" s="62"/>
    </row>
    <row r="182" spans="2:6" ht="20.25" customHeight="1">
      <c r="B182" s="118" t="s">
        <v>74</v>
      </c>
      <c r="C182" s="119"/>
      <c r="D182" s="119"/>
      <c r="E182" s="119"/>
      <c r="F182" s="120"/>
    </row>
    <row r="183" spans="2:6" ht="45" customHeight="1" outlineLevel="1">
      <c r="B183" s="121" t="s">
        <v>454</v>
      </c>
      <c r="C183" s="122"/>
      <c r="D183" s="122"/>
      <c r="E183" s="122"/>
      <c r="F183" s="123"/>
    </row>
    <row r="184" spans="2:6" ht="12.75" outlineLevel="1">
      <c r="B184" s="124"/>
      <c r="C184" s="125"/>
      <c r="D184" s="125"/>
      <c r="E184" s="125"/>
      <c r="F184" s="126"/>
    </row>
    <row r="185" spans="2:6" ht="18" customHeight="1" outlineLevel="1">
      <c r="B185" s="127" t="s">
        <v>205</v>
      </c>
      <c r="C185" s="128"/>
      <c r="D185" s="128"/>
      <c r="E185" s="128"/>
      <c r="F185" s="129"/>
    </row>
    <row r="186" spans="2:6" ht="18" customHeight="1" outlineLevel="1">
      <c r="B186" s="130" t="str">
        <f>_xlfn.IFERROR("Team Number: "&amp;VLOOKUP("r",$B$2:$F$54,3,FALSE),"")</f>
        <v>Team Number: </v>
      </c>
      <c r="C186" s="131"/>
      <c r="D186" s="131"/>
      <c r="E186" s="131"/>
      <c r="F186" s="132"/>
    </row>
    <row r="187" spans="2:6" ht="18.75" customHeight="1" outlineLevel="1">
      <c r="B187" s="115">
        <f>_xlfn.IFERROR(VLOOKUP("R",$B$2:$F$54,4,FALSE),"")</f>
      </c>
      <c r="C187" s="116"/>
      <c r="D187" s="116"/>
      <c r="E187" s="116"/>
      <c r="F187" s="117"/>
    </row>
    <row r="188" spans="2:6" ht="18.75" outlineLevel="1" thickBot="1">
      <c r="B188" s="63">
        <f>_xlfn.IFERROR(VLOOKUP("R",$B$2:$F$54,5,FALSE),"")</f>
      </c>
      <c r="C188" s="64"/>
      <c r="D188" s="64"/>
      <c r="E188" s="64"/>
      <c r="F188" s="65"/>
    </row>
    <row r="189" spans="2:6" ht="13.5" thickBot="1">
      <c r="B189" s="62"/>
      <c r="C189" s="62"/>
      <c r="E189" s="62"/>
      <c r="F189" s="62"/>
    </row>
    <row r="190" spans="2:6" ht="20.25">
      <c r="B190" s="118" t="s">
        <v>112</v>
      </c>
      <c r="C190" s="119"/>
      <c r="D190" s="119"/>
      <c r="E190" s="119"/>
      <c r="F190" s="120"/>
    </row>
    <row r="191" spans="2:6" ht="18" outlineLevel="1">
      <c r="B191" s="121"/>
      <c r="C191" s="122"/>
      <c r="D191" s="122"/>
      <c r="E191" s="122"/>
      <c r="F191" s="123"/>
    </row>
    <row r="192" spans="2:6" ht="12.75" outlineLevel="1">
      <c r="B192" s="124"/>
      <c r="C192" s="125"/>
      <c r="D192" s="125"/>
      <c r="E192" s="125"/>
      <c r="F192" s="126"/>
    </row>
    <row r="193" spans="2:6" ht="18" outlineLevel="1">
      <c r="B193" s="127" t="s">
        <v>206</v>
      </c>
      <c r="C193" s="128"/>
      <c r="D193" s="128"/>
      <c r="E193" s="128"/>
      <c r="F193" s="129"/>
    </row>
    <row r="194" spans="2:6" ht="18" outlineLevel="1">
      <c r="B194" s="130" t="str">
        <f>_xlfn.IFERROR("Team Number: "&amp;VLOOKUP("pr3",$B$2:$F$54,3,FALSE),"")</f>
        <v>Team Number: </v>
      </c>
      <c r="C194" s="131"/>
      <c r="D194" s="131"/>
      <c r="E194" s="131"/>
      <c r="F194" s="132"/>
    </row>
    <row r="195" spans="2:6" ht="18.75" outlineLevel="1">
      <c r="B195" s="115">
        <f>_xlfn.IFERROR(VLOOKUP("PR3",$B$2:$F$54,4,FALSE),"")</f>
      </c>
      <c r="C195" s="116"/>
      <c r="D195" s="116"/>
      <c r="E195" s="116"/>
      <c r="F195" s="117"/>
    </row>
    <row r="196" spans="2:6" ht="18.75" outlineLevel="1" thickBot="1">
      <c r="B196" s="63">
        <f>_xlfn.IFERROR(VLOOKUP("PR3",$B$2:$F$54,5,FALSE),"")</f>
      </c>
      <c r="C196" s="64"/>
      <c r="D196" s="64"/>
      <c r="E196" s="64"/>
      <c r="F196" s="65"/>
    </row>
    <row r="197" spans="2:6" ht="13.5" thickBot="1">
      <c r="B197" s="62"/>
      <c r="C197" s="62"/>
      <c r="E197" s="62"/>
      <c r="F197" s="62"/>
    </row>
    <row r="198" spans="2:6" ht="20.25">
      <c r="B198" s="118" t="s">
        <v>104</v>
      </c>
      <c r="C198" s="119"/>
      <c r="D198" s="119"/>
      <c r="E198" s="119"/>
      <c r="F198" s="120"/>
    </row>
    <row r="199" spans="2:6" ht="18" outlineLevel="1">
      <c r="B199" s="121"/>
      <c r="C199" s="122"/>
      <c r="D199" s="122"/>
      <c r="E199" s="122"/>
      <c r="F199" s="123"/>
    </row>
    <row r="200" spans="2:6" ht="12.75" outlineLevel="1">
      <c r="B200" s="124"/>
      <c r="C200" s="125"/>
      <c r="D200" s="125"/>
      <c r="E200" s="125"/>
      <c r="F200" s="126"/>
    </row>
    <row r="201" spans="2:6" ht="18" outlineLevel="1">
      <c r="B201" s="127" t="s">
        <v>207</v>
      </c>
      <c r="C201" s="128"/>
      <c r="D201" s="128"/>
      <c r="E201" s="128"/>
      <c r="F201" s="129"/>
    </row>
    <row r="202" spans="2:6" ht="18" outlineLevel="1">
      <c r="B202" s="130" t="str">
        <f>_xlfn.IFERROR("Team Number: "&amp;VLOOKUP("PR2",$B$2:$F$54,3,FALSE),"")</f>
        <v>Team Number: </v>
      </c>
      <c r="C202" s="131"/>
      <c r="D202" s="131"/>
      <c r="E202" s="131"/>
      <c r="F202" s="132"/>
    </row>
    <row r="203" spans="2:6" ht="18.75" outlineLevel="1">
      <c r="B203" s="115">
        <f>_xlfn.IFERROR(VLOOKUP("PR2",$B$2:$F$54,4,FALSE),"")</f>
      </c>
      <c r="C203" s="116"/>
      <c r="D203" s="116"/>
      <c r="E203" s="116"/>
      <c r="F203" s="117"/>
    </row>
    <row r="204" spans="2:6" ht="18.75" outlineLevel="1" thickBot="1">
      <c r="B204" s="63">
        <f>_xlfn.IFERROR(VLOOKUP("PR2",$B$2:$F$54,5,FALSE),"")</f>
      </c>
      <c r="C204" s="64"/>
      <c r="D204" s="64"/>
      <c r="E204" s="64"/>
      <c r="F204" s="65"/>
    </row>
    <row r="205" spans="2:6" ht="13.5" thickBot="1">
      <c r="B205" s="62"/>
      <c r="C205" s="62"/>
      <c r="E205" s="62"/>
      <c r="F205" s="62"/>
    </row>
    <row r="206" spans="2:6" ht="20.25">
      <c r="B206" s="118" t="s">
        <v>208</v>
      </c>
      <c r="C206" s="119"/>
      <c r="D206" s="119"/>
      <c r="E206" s="119"/>
      <c r="F206" s="120"/>
    </row>
    <row r="207" spans="2:6" ht="18">
      <c r="B207" s="121"/>
      <c r="C207" s="122"/>
      <c r="D207" s="122"/>
      <c r="E207" s="122"/>
      <c r="F207" s="123"/>
    </row>
    <row r="208" spans="2:6" ht="12.75">
      <c r="B208" s="124"/>
      <c r="C208" s="125"/>
      <c r="D208" s="125"/>
      <c r="E208" s="125"/>
      <c r="F208" s="126"/>
    </row>
    <row r="209" spans="2:6" ht="18">
      <c r="B209" s="127" t="s">
        <v>209</v>
      </c>
      <c r="C209" s="128"/>
      <c r="D209" s="128"/>
      <c r="E209" s="128"/>
      <c r="F209" s="129"/>
    </row>
    <row r="210" spans="2:6" ht="18">
      <c r="B210" s="130" t="str">
        <f>_xlfn.IFERROR("Team Number: "&amp;VLOOKUP("PR1",$B$2:$F$54,3,FALSE),"")</f>
        <v>Team Number: </v>
      </c>
      <c r="C210" s="131"/>
      <c r="D210" s="131"/>
      <c r="E210" s="131"/>
      <c r="F210" s="132"/>
    </row>
    <row r="211" spans="2:6" ht="18.75">
      <c r="B211" s="115">
        <f>_xlfn.IFERROR(VLOOKUP("PR1",$B$2:$F$54,4,FALSE),"")</f>
      </c>
      <c r="C211" s="116"/>
      <c r="D211" s="116"/>
      <c r="E211" s="116"/>
      <c r="F211" s="117"/>
    </row>
    <row r="212" spans="2:6" ht="18.75" thickBot="1">
      <c r="B212" s="63">
        <f>_xlfn.IFERROR(VLOOKUP("PR1",$B$2:$F$54,5,FALSE),"")</f>
      </c>
      <c r="C212" s="64"/>
      <c r="D212" s="64"/>
      <c r="E212" s="64"/>
      <c r="F212" s="65"/>
    </row>
    <row r="213" spans="2:6" ht="13.5" thickBot="1">
      <c r="B213" s="62"/>
      <c r="C213" s="62"/>
      <c r="E213" s="62"/>
      <c r="F213" s="62"/>
    </row>
    <row r="214" spans="2:6" ht="20.25" customHeight="1">
      <c r="B214" s="118" t="s">
        <v>210</v>
      </c>
      <c r="C214" s="119"/>
      <c r="D214" s="119"/>
      <c r="E214" s="119"/>
      <c r="F214" s="120"/>
    </row>
    <row r="215" spans="2:6" ht="107.25" customHeight="1" thickBot="1">
      <c r="B215" s="148" t="s">
        <v>187</v>
      </c>
      <c r="C215" s="149"/>
      <c r="D215" s="149"/>
      <c r="E215" s="149"/>
      <c r="F215" s="150"/>
    </row>
    <row r="216" spans="2:6" ht="13.5" thickBot="1">
      <c r="B216" s="62"/>
      <c r="C216" s="62"/>
      <c r="E216" s="62"/>
      <c r="F216" s="62"/>
    </row>
    <row r="217" spans="2:6" ht="20.25">
      <c r="B217" s="118" t="s">
        <v>211</v>
      </c>
      <c r="C217" s="119"/>
      <c r="D217" s="119"/>
      <c r="E217" s="119"/>
      <c r="F217" s="120"/>
    </row>
    <row r="218" spans="2:6" ht="69" customHeight="1" outlineLevel="1" thickBot="1">
      <c r="B218" s="148" t="s">
        <v>457</v>
      </c>
      <c r="C218" s="149"/>
      <c r="D218" s="149"/>
      <c r="E218" s="149"/>
      <c r="F218" s="150"/>
    </row>
    <row r="219" spans="2:6" ht="12.75" outlineLevel="1">
      <c r="B219" s="124"/>
      <c r="C219" s="125"/>
      <c r="D219" s="125"/>
      <c r="E219" s="125"/>
      <c r="F219" s="126"/>
    </row>
    <row r="220" spans="2:6" ht="18" outlineLevel="1">
      <c r="B220" s="127" t="s">
        <v>212</v>
      </c>
      <c r="C220" s="128"/>
      <c r="D220" s="128"/>
      <c r="E220" s="128"/>
      <c r="F220" s="129"/>
    </row>
    <row r="221" spans="2:6" ht="18" outlineLevel="1">
      <c r="B221" s="130" t="str">
        <f>_xlfn.IFERROR("Team Number: "&amp;VLOOKUP("GP",$B$2:$F$54,3,FALSE),"")</f>
        <v>Team Number: </v>
      </c>
      <c r="C221" s="131"/>
      <c r="D221" s="131"/>
      <c r="E221" s="131"/>
      <c r="F221" s="132"/>
    </row>
    <row r="222" spans="2:6" ht="18.75" outlineLevel="1">
      <c r="B222" s="115">
        <f>_xlfn.IFERROR(VLOOKUP("GP",$B$2:$F$54,4,FALSE),"")</f>
      </c>
      <c r="C222" s="116"/>
      <c r="D222" s="116"/>
      <c r="E222" s="116"/>
      <c r="F222" s="117"/>
    </row>
    <row r="223" spans="2:6" ht="18.75" outlineLevel="1" thickBot="1">
      <c r="B223" s="63">
        <f>_xlfn.IFERROR(VLOOKUP("GP",$B$2:$F$54,5,FALSE),"")</f>
      </c>
      <c r="C223" s="64"/>
      <c r="D223" s="64"/>
      <c r="E223" s="64"/>
      <c r="F223" s="65"/>
    </row>
    <row r="224" spans="2:6" ht="13.5" thickBot="1">
      <c r="B224" s="62"/>
      <c r="C224" s="62"/>
      <c r="E224" s="62"/>
      <c r="F224" s="62"/>
    </row>
    <row r="225" spans="2:6" ht="20.25" customHeight="1">
      <c r="B225" s="118" t="s">
        <v>64</v>
      </c>
      <c r="C225" s="119"/>
      <c r="D225" s="119"/>
      <c r="E225" s="119"/>
      <c r="F225" s="120"/>
    </row>
    <row r="226" spans="2:6" ht="54.75" customHeight="1" outlineLevel="1" thickBot="1">
      <c r="B226" s="148" t="s">
        <v>449</v>
      </c>
      <c r="C226" s="149"/>
      <c r="D226" s="149"/>
      <c r="E226" s="149"/>
      <c r="F226" s="150"/>
    </row>
    <row r="227" spans="2:6" ht="12.75" outlineLevel="1">
      <c r="B227" s="124"/>
      <c r="C227" s="125"/>
      <c r="D227" s="125"/>
      <c r="E227" s="125"/>
      <c r="F227" s="126"/>
    </row>
    <row r="228" spans="2:6" ht="18" customHeight="1" outlineLevel="1">
      <c r="B228" s="127" t="s">
        <v>213</v>
      </c>
      <c r="C228" s="128"/>
      <c r="D228" s="128"/>
      <c r="E228" s="128"/>
      <c r="F228" s="129"/>
    </row>
    <row r="229" spans="2:6" ht="18" customHeight="1" outlineLevel="1">
      <c r="B229" s="130" t="str">
        <f>_xlfn.IFERROR("Team Number: "&amp;VLOOKUP("TW",$B$2:$F$54,3,FALSE),"")</f>
        <v>Team Number: </v>
      </c>
      <c r="C229" s="131"/>
      <c r="D229" s="131"/>
      <c r="E229" s="131"/>
      <c r="F229" s="132"/>
    </row>
    <row r="230" spans="2:6" ht="18.75" customHeight="1" outlineLevel="1">
      <c r="B230" s="115">
        <f>_xlfn.IFERROR(VLOOKUP("TW",$B$2:$F$54,4,FALSE),"")</f>
      </c>
      <c r="C230" s="116"/>
      <c r="D230" s="116"/>
      <c r="E230" s="116"/>
      <c r="F230" s="117"/>
    </row>
    <row r="231" spans="2:6" ht="18.75" outlineLevel="1" thickBot="1">
      <c r="B231" s="63">
        <f>_xlfn.IFERROR(VLOOKUP("TW",$B$2:$F$54,5,FALSE),"")</f>
      </c>
      <c r="C231" s="64"/>
      <c r="D231" s="64"/>
      <c r="E231" s="64"/>
      <c r="F231" s="65"/>
    </row>
    <row r="232" spans="2:6" ht="13.5" thickBot="1">
      <c r="B232" s="62"/>
      <c r="C232" s="62"/>
      <c r="E232" s="62"/>
      <c r="F232" s="62"/>
    </row>
    <row r="233" spans="2:6" ht="20.25" customHeight="1">
      <c r="B233" s="118" t="s">
        <v>62</v>
      </c>
      <c r="C233" s="119"/>
      <c r="D233" s="119"/>
      <c r="E233" s="119"/>
      <c r="F233" s="120"/>
    </row>
    <row r="234" spans="2:6" ht="52.5" customHeight="1" outlineLevel="1" thickBot="1">
      <c r="B234" s="148" t="s">
        <v>450</v>
      </c>
      <c r="C234" s="149"/>
      <c r="D234" s="149"/>
      <c r="E234" s="149"/>
      <c r="F234" s="150"/>
    </row>
    <row r="235" spans="2:6" ht="12.75" outlineLevel="1">
      <c r="B235" s="124"/>
      <c r="C235" s="125"/>
      <c r="D235" s="125"/>
      <c r="E235" s="125"/>
      <c r="F235" s="126"/>
    </row>
    <row r="236" spans="2:6" ht="18" customHeight="1" outlineLevel="1">
      <c r="B236" s="127" t="s">
        <v>204</v>
      </c>
      <c r="C236" s="128"/>
      <c r="D236" s="128"/>
      <c r="E236" s="128"/>
      <c r="F236" s="129"/>
    </row>
    <row r="237" spans="2:6" ht="18" customHeight="1" outlineLevel="1">
      <c r="B237" s="130" t="str">
        <f>_xlfn.IFERROR("Team Number: "&amp;VLOOKUP("IN",$B$2:$F$54,3,FALSE),"")</f>
        <v>Team Number: </v>
      </c>
      <c r="C237" s="131"/>
      <c r="D237" s="131"/>
      <c r="E237" s="131"/>
      <c r="F237" s="132"/>
    </row>
    <row r="238" spans="2:6" ht="18.75" customHeight="1" outlineLevel="1">
      <c r="B238" s="115">
        <f>_xlfn.IFERROR(VLOOKUP("IN",$B$2:$F$54,4,FALSE),"")</f>
      </c>
      <c r="C238" s="116"/>
      <c r="D238" s="116"/>
      <c r="E238" s="116"/>
      <c r="F238" s="117"/>
    </row>
    <row r="239" spans="2:6" ht="18.75" outlineLevel="1" thickBot="1">
      <c r="B239" s="63">
        <f>_xlfn.IFERROR(VLOOKUP("IN",$B$2:$F$54,5,FALSE),"")</f>
      </c>
      <c r="C239" s="64"/>
      <c r="D239" s="64"/>
      <c r="E239" s="64"/>
      <c r="F239" s="65"/>
    </row>
    <row r="240" spans="2:6" ht="13.5" thickBot="1">
      <c r="B240" s="62"/>
      <c r="C240" s="62"/>
      <c r="E240" s="62"/>
      <c r="F240" s="62"/>
    </row>
    <row r="241" spans="2:6" ht="20.25">
      <c r="B241" s="118" t="s">
        <v>113</v>
      </c>
      <c r="C241" s="119"/>
      <c r="D241" s="119"/>
      <c r="E241" s="119"/>
      <c r="F241" s="120"/>
    </row>
    <row r="242" spans="2:6" ht="18" outlineLevel="1">
      <c r="B242" s="121"/>
      <c r="C242" s="122"/>
      <c r="D242" s="122"/>
      <c r="E242" s="122"/>
      <c r="F242" s="123"/>
    </row>
    <row r="243" spans="2:6" ht="12.75" outlineLevel="1">
      <c r="B243" s="124"/>
      <c r="C243" s="125"/>
      <c r="D243" s="125"/>
      <c r="E243" s="125"/>
      <c r="F243" s="126"/>
    </row>
    <row r="244" spans="2:6" ht="18" outlineLevel="1">
      <c r="B244" s="127" t="s">
        <v>214</v>
      </c>
      <c r="C244" s="128"/>
      <c r="D244" s="128"/>
      <c r="E244" s="128"/>
      <c r="F244" s="129"/>
    </row>
    <row r="245" spans="2:6" ht="18" outlineLevel="1">
      <c r="B245" s="130" t="str">
        <f>_xlfn.IFERROR("Team Number: "&amp;VLOOKUP("CV3",$B$2:$F$54,3,FALSE),"")</f>
        <v>Team Number: </v>
      </c>
      <c r="C245" s="131"/>
      <c r="D245" s="131"/>
      <c r="E245" s="131"/>
      <c r="F245" s="132"/>
    </row>
    <row r="246" spans="2:6" ht="18.75" outlineLevel="1">
      <c r="B246" s="115">
        <f>_xlfn.IFERROR(VLOOKUP("CV3",$B$2:$F$54,4,FALSE),"")</f>
      </c>
      <c r="C246" s="116"/>
      <c r="D246" s="116"/>
      <c r="E246" s="116"/>
      <c r="F246" s="117"/>
    </row>
    <row r="247" spans="2:6" ht="18.75" outlineLevel="1" thickBot="1">
      <c r="B247" s="63">
        <f>_xlfn.IFERROR(VLOOKUP("CV3",$B$2:$F$54,5,FALSE),"")</f>
      </c>
      <c r="C247" s="64"/>
      <c r="D247" s="64"/>
      <c r="E247" s="64"/>
      <c r="F247" s="65"/>
    </row>
    <row r="248" spans="2:6" ht="13.5" thickBot="1">
      <c r="B248" s="62"/>
      <c r="C248" s="62"/>
      <c r="E248" s="62"/>
      <c r="F248" s="62"/>
    </row>
    <row r="249" spans="2:6" ht="20.25">
      <c r="B249" s="118" t="s">
        <v>105</v>
      </c>
      <c r="C249" s="119"/>
      <c r="D249" s="119"/>
      <c r="E249" s="119"/>
      <c r="F249" s="120"/>
    </row>
    <row r="250" spans="2:6" ht="18" outlineLevel="1">
      <c r="B250" s="121"/>
      <c r="C250" s="122"/>
      <c r="D250" s="122"/>
      <c r="E250" s="122"/>
      <c r="F250" s="123"/>
    </row>
    <row r="251" spans="2:6" ht="12.75" outlineLevel="1">
      <c r="B251" s="124"/>
      <c r="C251" s="125"/>
      <c r="D251" s="125"/>
      <c r="E251" s="125"/>
      <c r="F251" s="126"/>
    </row>
    <row r="252" spans="2:6" ht="18" outlineLevel="1">
      <c r="B252" s="127" t="s">
        <v>215</v>
      </c>
      <c r="C252" s="128"/>
      <c r="D252" s="128"/>
      <c r="E252" s="128"/>
      <c r="F252" s="129"/>
    </row>
    <row r="253" spans="2:6" ht="18" outlineLevel="1">
      <c r="B253" s="130" t="str">
        <f>_xlfn.IFERROR("Team Number: "&amp;VLOOKUP("CV2",$B$2:$F$54,3,FALSE),"")</f>
        <v>Team Number: </v>
      </c>
      <c r="C253" s="131"/>
      <c r="D253" s="131"/>
      <c r="E253" s="131"/>
      <c r="F253" s="132"/>
    </row>
    <row r="254" spans="2:6" ht="18.75" outlineLevel="1">
      <c r="B254" s="115">
        <f>_xlfn.IFERROR(VLOOKUP("CV2",$B$2:$F$54,4,FALSE),"")</f>
      </c>
      <c r="C254" s="116"/>
      <c r="D254" s="116"/>
      <c r="E254" s="116"/>
      <c r="F254" s="117"/>
    </row>
    <row r="255" spans="2:6" ht="18.75" outlineLevel="1" thickBot="1">
      <c r="B255" s="63">
        <f>_xlfn.IFERROR(VLOOKUP("CV2",$B$2:$F$54,5,FALSE),"")</f>
      </c>
      <c r="C255" s="64"/>
      <c r="D255" s="64"/>
      <c r="E255" s="64"/>
      <c r="F255" s="65"/>
    </row>
    <row r="256" spans="2:6" ht="13.5" thickBot="1">
      <c r="B256" s="62"/>
      <c r="C256" s="62"/>
      <c r="E256" s="62"/>
      <c r="F256" s="62"/>
    </row>
    <row r="257" spans="2:6" ht="20.25">
      <c r="B257" s="118" t="s">
        <v>100</v>
      </c>
      <c r="C257" s="119"/>
      <c r="D257" s="119"/>
      <c r="E257" s="119"/>
      <c r="F257" s="120"/>
    </row>
    <row r="258" spans="2:6" ht="18">
      <c r="B258" s="121"/>
      <c r="C258" s="122"/>
      <c r="D258" s="122"/>
      <c r="E258" s="122"/>
      <c r="F258" s="123"/>
    </row>
    <row r="259" spans="2:6" ht="29.25" customHeight="1">
      <c r="B259" s="124"/>
      <c r="C259" s="125"/>
      <c r="D259" s="125"/>
      <c r="E259" s="125"/>
      <c r="F259" s="126"/>
    </row>
    <row r="260" spans="2:6" ht="18">
      <c r="B260" s="127" t="s">
        <v>216</v>
      </c>
      <c r="C260" s="128"/>
      <c r="D260" s="128"/>
      <c r="E260" s="128"/>
      <c r="F260" s="129"/>
    </row>
    <row r="261" spans="2:6" ht="18">
      <c r="B261" s="130" t="str">
        <f>_xlfn.IFERROR("Team Number: "&amp;VLOOKUP("CV1",$B$2:$F$54,3,FALSE),"")</f>
        <v>Team Number: </v>
      </c>
      <c r="C261" s="131"/>
      <c r="D261" s="131"/>
      <c r="E261" s="131"/>
      <c r="F261" s="132"/>
    </row>
    <row r="262" spans="2:6" ht="18.75">
      <c r="B262" s="115">
        <f>_xlfn.IFERROR(VLOOKUP("CV1",$B$2:$F$54,4,FALSE),"")</f>
      </c>
      <c r="C262" s="116"/>
      <c r="D262" s="116"/>
      <c r="E262" s="116"/>
      <c r="F262" s="117"/>
    </row>
    <row r="263" spans="2:6" ht="18.75" thickBot="1">
      <c r="B263" s="63">
        <f>_xlfn.IFERROR(VLOOKUP("CV1",$B$2:$F$54,5,FALSE),"")</f>
      </c>
      <c r="C263" s="64"/>
      <c r="D263" s="64"/>
      <c r="E263" s="64"/>
      <c r="F263" s="65"/>
    </row>
    <row r="264" spans="2:6" ht="18">
      <c r="B264" s="69"/>
      <c r="C264" s="69"/>
      <c r="D264" s="69"/>
      <c r="E264" s="69"/>
      <c r="F264" s="69"/>
    </row>
    <row r="265" spans="2:6" ht="13.5" thickBot="1">
      <c r="B265" s="62"/>
      <c r="C265" s="62"/>
      <c r="E265" s="62"/>
      <c r="F265" s="62"/>
    </row>
    <row r="266" spans="2:6" ht="20.25" customHeight="1">
      <c r="B266" s="118" t="s">
        <v>224</v>
      </c>
      <c r="C266" s="119"/>
      <c r="D266" s="119"/>
      <c r="E266" s="119"/>
      <c r="F266" s="120"/>
    </row>
    <row r="267" spans="2:6" ht="100.5" customHeight="1">
      <c r="B267" s="121" t="s">
        <v>136</v>
      </c>
      <c r="C267" s="122"/>
      <c r="D267" s="122"/>
      <c r="E267" s="122"/>
      <c r="F267" s="123"/>
    </row>
    <row r="268" spans="2:6" ht="12.75">
      <c r="B268" s="62"/>
      <c r="C268" s="62"/>
      <c r="E268" s="62"/>
      <c r="F268" s="62"/>
    </row>
    <row r="269" spans="2:6" ht="18.75" thickBot="1">
      <c r="B269" s="69"/>
      <c r="C269" s="69"/>
      <c r="D269" s="69"/>
      <c r="E269" s="69"/>
      <c r="F269" s="69"/>
    </row>
    <row r="270" spans="2:6" ht="20.25" customHeight="1">
      <c r="B270" s="118" t="s">
        <v>458</v>
      </c>
      <c r="C270" s="119"/>
      <c r="D270" s="119"/>
      <c r="E270" s="119"/>
      <c r="F270" s="120"/>
    </row>
    <row r="271" spans="2:6" ht="66" customHeight="1" outlineLevel="1">
      <c r="B271" s="121" t="s">
        <v>459</v>
      </c>
      <c r="C271" s="122"/>
      <c r="D271" s="122"/>
      <c r="E271" s="122"/>
      <c r="F271" s="123"/>
    </row>
    <row r="272" spans="2:6" ht="12.75" outlineLevel="1">
      <c r="B272" s="124"/>
      <c r="C272" s="125"/>
      <c r="D272" s="125"/>
      <c r="E272" s="125"/>
      <c r="F272" s="126"/>
    </row>
    <row r="273" spans="2:6" ht="18" customHeight="1" outlineLevel="1">
      <c r="B273" s="127" t="s">
        <v>460</v>
      </c>
      <c r="C273" s="128"/>
      <c r="D273" s="128"/>
      <c r="E273" s="128"/>
      <c r="F273" s="129"/>
    </row>
    <row r="274" spans="2:6" ht="18" outlineLevel="1">
      <c r="B274" s="130" t="str">
        <f>_xlfn.IFERROR("Team Number: "&amp;VLOOKUP("OA",$B$2:$F$54,3,FALSE),"")</f>
        <v>Team Number: </v>
      </c>
      <c r="C274" s="131"/>
      <c r="D274" s="131"/>
      <c r="E274" s="131"/>
      <c r="F274" s="132"/>
    </row>
    <row r="275" spans="2:6" ht="18.75" outlineLevel="1">
      <c r="B275" s="115">
        <f>_xlfn.IFERROR(VLOOKUP("OA",$B$2:$F$54,4,FALSE),"")</f>
      </c>
      <c r="C275" s="116"/>
      <c r="D275" s="116"/>
      <c r="E275" s="116"/>
      <c r="F275" s="117"/>
    </row>
    <row r="276" spans="2:6" ht="18.75" outlineLevel="1" thickBot="1">
      <c r="B276" s="63">
        <f>_xlfn.IFERROR(VLOOKUP("OA",$B$2:$F$54,5,FALSE),"")</f>
      </c>
      <c r="C276" s="64"/>
      <c r="D276" s="64"/>
      <c r="E276" s="64"/>
      <c r="F276" s="65"/>
    </row>
    <row r="277" spans="2:6" ht="18.75" thickBot="1">
      <c r="B277" s="69"/>
      <c r="C277" s="69"/>
      <c r="D277" s="69"/>
      <c r="E277" s="69"/>
      <c r="F277" s="69"/>
    </row>
    <row r="278" spans="2:6" ht="20.25" customHeight="1">
      <c r="B278" s="118" t="s">
        <v>461</v>
      </c>
      <c r="C278" s="119"/>
      <c r="D278" s="119"/>
      <c r="E278" s="119"/>
      <c r="F278" s="120"/>
    </row>
    <row r="279" spans="2:6" ht="18" outlineLevel="1">
      <c r="B279" s="121" t="s">
        <v>479</v>
      </c>
      <c r="C279" s="122"/>
      <c r="D279" s="122"/>
      <c r="E279" s="122"/>
      <c r="F279" s="123"/>
    </row>
    <row r="280" spans="2:6" ht="12.75" outlineLevel="1">
      <c r="B280" s="124"/>
      <c r="C280" s="125"/>
      <c r="D280" s="125"/>
      <c r="E280" s="125"/>
      <c r="F280" s="126"/>
    </row>
    <row r="281" spans="2:6" ht="18" customHeight="1" outlineLevel="1">
      <c r="B281" s="127" t="s">
        <v>462</v>
      </c>
      <c r="C281" s="128"/>
      <c r="D281" s="128"/>
      <c r="E281" s="128"/>
      <c r="F281" s="129"/>
    </row>
    <row r="282" spans="2:6" ht="18" outlineLevel="1">
      <c r="B282" s="130" t="str">
        <f>_xlfn.IFERROR("Team Number: "&amp;VLOOKUP("RS",$B$2:$F$54,3,FALSE),"")</f>
        <v>Team Number: </v>
      </c>
      <c r="C282" s="131"/>
      <c r="D282" s="131"/>
      <c r="E282" s="131"/>
      <c r="F282" s="132"/>
    </row>
    <row r="283" spans="2:6" ht="18.75" outlineLevel="1">
      <c r="B283" s="115">
        <f>_xlfn.IFERROR(VLOOKUP("RS",$B$2:$F$54,4,FALSE),"")</f>
      </c>
      <c r="C283" s="116"/>
      <c r="D283" s="116"/>
      <c r="E283" s="116"/>
      <c r="F283" s="117"/>
    </row>
    <row r="284" spans="2:6" ht="18.75" outlineLevel="1" thickBot="1">
      <c r="B284" s="63">
        <f>_xlfn.IFERROR(VLOOKUP("RS",$B$2:$F$54,5,FALSE),"")</f>
      </c>
      <c r="C284" s="64"/>
      <c r="D284" s="64"/>
      <c r="E284" s="64"/>
      <c r="F284" s="65"/>
    </row>
    <row r="285" spans="2:6" ht="13.5" thickBot="1">
      <c r="B285" s="62"/>
      <c r="C285" s="62"/>
      <c r="E285" s="62"/>
      <c r="F285" s="62"/>
    </row>
    <row r="286" spans="2:6" ht="20.25" customHeight="1">
      <c r="B286" s="118" t="s">
        <v>217</v>
      </c>
      <c r="C286" s="119"/>
      <c r="D286" s="119"/>
      <c r="E286" s="119"/>
      <c r="F286" s="120"/>
    </row>
    <row r="287" spans="2:6" ht="18" outlineLevel="1">
      <c r="B287" s="121"/>
      <c r="C287" s="122"/>
      <c r="D287" s="122"/>
      <c r="E287" s="122"/>
      <c r="F287" s="123"/>
    </row>
    <row r="288" spans="2:6" ht="12.75" outlineLevel="1">
      <c r="B288" s="124"/>
      <c r="C288" s="125"/>
      <c r="D288" s="125"/>
      <c r="E288" s="125"/>
      <c r="F288" s="126"/>
    </row>
    <row r="289" spans="2:6" ht="18" customHeight="1" outlineLevel="1">
      <c r="B289" s="127" t="s">
        <v>218</v>
      </c>
      <c r="C289" s="128"/>
      <c r="D289" s="128"/>
      <c r="E289" s="128"/>
      <c r="F289" s="129"/>
    </row>
    <row r="290" spans="2:6" ht="18" outlineLevel="1">
      <c r="B290" s="130" t="str">
        <f>_xlfn.IFERROR("Team Number: "&amp;VLOOKUP("J5",$B$2:$F$54,3,FALSE),"")</f>
        <v>Team Number: </v>
      </c>
      <c r="C290" s="131"/>
      <c r="D290" s="131"/>
      <c r="E290" s="131"/>
      <c r="F290" s="132"/>
    </row>
    <row r="291" spans="2:6" ht="18.75" outlineLevel="1">
      <c r="B291" s="115">
        <f>_xlfn.IFERROR(VLOOKUP("J5",$B$2:$F$54,4,FALSE),"")</f>
      </c>
      <c r="C291" s="116"/>
      <c r="D291" s="116"/>
      <c r="E291" s="116"/>
      <c r="F291" s="117"/>
    </row>
    <row r="292" spans="2:6" ht="18.75" outlineLevel="1" thickBot="1">
      <c r="B292" s="63">
        <f>_xlfn.IFERROR(VLOOKUP("J5",$B$2:$F$54,5,FALSE),"")</f>
      </c>
      <c r="C292" s="64"/>
      <c r="D292" s="64"/>
      <c r="E292" s="64"/>
      <c r="F292" s="65"/>
    </row>
    <row r="293" spans="2:6" ht="13.5" thickBot="1">
      <c r="B293" s="62"/>
      <c r="C293" s="62"/>
      <c r="E293" s="62"/>
      <c r="F293" s="62"/>
    </row>
    <row r="294" spans="2:6" ht="20.25" customHeight="1">
      <c r="B294" s="118" t="s">
        <v>219</v>
      </c>
      <c r="C294" s="119"/>
      <c r="D294" s="119"/>
      <c r="E294" s="119"/>
      <c r="F294" s="120"/>
    </row>
    <row r="295" spans="2:6" ht="18" outlineLevel="1">
      <c r="B295" s="121"/>
      <c r="C295" s="122"/>
      <c r="D295" s="122"/>
      <c r="E295" s="122"/>
      <c r="F295" s="123"/>
    </row>
    <row r="296" spans="2:6" ht="12.75" outlineLevel="1">
      <c r="B296" s="124"/>
      <c r="C296" s="125"/>
      <c r="D296" s="125"/>
      <c r="E296" s="125"/>
      <c r="F296" s="126"/>
    </row>
    <row r="297" spans="2:6" ht="18" customHeight="1" outlineLevel="1">
      <c r="B297" s="127" t="s">
        <v>220</v>
      </c>
      <c r="C297" s="128"/>
      <c r="D297" s="128"/>
      <c r="E297" s="128"/>
      <c r="F297" s="129"/>
    </row>
    <row r="298" spans="2:6" ht="18" outlineLevel="1">
      <c r="B298" s="130" t="str">
        <f>_xlfn.IFERROR("Team Number: "&amp;VLOOKUP("J4",$B$2:$F$54,3,FALSE),"")</f>
        <v>Team Number: </v>
      </c>
      <c r="C298" s="131"/>
      <c r="D298" s="131"/>
      <c r="E298" s="131"/>
      <c r="F298" s="132"/>
    </row>
    <row r="299" spans="2:6" ht="18.75" outlineLevel="1">
      <c r="B299" s="115">
        <f>_xlfn.IFERROR(VLOOKUP("J4",$B$2:$F$54,4,FALSE),"")</f>
      </c>
      <c r="C299" s="116"/>
      <c r="D299" s="116"/>
      <c r="E299" s="116"/>
      <c r="F299" s="117"/>
    </row>
    <row r="300" spans="2:6" ht="18.75" outlineLevel="1" thickBot="1">
      <c r="B300" s="63">
        <f>_xlfn.IFERROR(VLOOKUP("J4",$B$2:$F$54,5,FALSE),"")</f>
      </c>
      <c r="C300" s="64"/>
      <c r="D300" s="64"/>
      <c r="E300" s="64"/>
      <c r="F300" s="65"/>
    </row>
    <row r="301" spans="2:6" ht="13.5" thickBot="1">
      <c r="B301" s="62"/>
      <c r="C301" s="62"/>
      <c r="E301" s="62"/>
      <c r="F301" s="62"/>
    </row>
    <row r="302" spans="2:6" ht="20.25">
      <c r="B302" s="118" t="s">
        <v>174</v>
      </c>
      <c r="C302" s="119"/>
      <c r="D302" s="119"/>
      <c r="E302" s="119"/>
      <c r="F302" s="120"/>
    </row>
    <row r="303" spans="2:6" ht="18" outlineLevel="1">
      <c r="B303" s="121"/>
      <c r="C303" s="122"/>
      <c r="D303" s="122"/>
      <c r="E303" s="122"/>
      <c r="F303" s="123"/>
    </row>
    <row r="304" spans="2:6" ht="32.25" customHeight="1" outlineLevel="1">
      <c r="B304" s="124"/>
      <c r="C304" s="125"/>
      <c r="D304" s="125"/>
      <c r="E304" s="125"/>
      <c r="F304" s="126"/>
    </row>
    <row r="305" spans="2:6" ht="18" outlineLevel="1">
      <c r="B305" s="127" t="s">
        <v>175</v>
      </c>
      <c r="C305" s="128"/>
      <c r="D305" s="128"/>
      <c r="E305" s="128"/>
      <c r="F305" s="129"/>
    </row>
    <row r="306" spans="2:6" ht="18" outlineLevel="1">
      <c r="B306" s="130" t="str">
        <f>_xlfn.IFERROR("Team Number: "&amp;VLOOKUP("J3",$B$2:$F$54,3,FALSE),"")</f>
        <v>Team Number: </v>
      </c>
      <c r="C306" s="131"/>
      <c r="D306" s="131"/>
      <c r="E306" s="131"/>
      <c r="F306" s="132"/>
    </row>
    <row r="307" spans="2:6" ht="18.75" outlineLevel="1">
      <c r="B307" s="115">
        <f>_xlfn.IFERROR(VLOOKUP("J3",$B$2:$F$54,4,FALSE),"")</f>
      </c>
      <c r="C307" s="116"/>
      <c r="D307" s="116"/>
      <c r="E307" s="116"/>
      <c r="F307" s="117"/>
    </row>
    <row r="308" spans="2:6" ht="18.75" outlineLevel="1" thickBot="1">
      <c r="B308" s="63">
        <f>_xlfn.IFERROR(VLOOKUP("J3",$B$2:$F$54,5,FALSE),"")</f>
      </c>
      <c r="C308" s="64"/>
      <c r="D308" s="64"/>
      <c r="E308" s="64"/>
      <c r="F308" s="65"/>
    </row>
    <row r="309" spans="2:6" ht="13.5" thickBot="1">
      <c r="B309" s="62"/>
      <c r="C309" s="62"/>
      <c r="E309" s="62"/>
      <c r="F309" s="62"/>
    </row>
    <row r="310" spans="2:6" ht="20.25" customHeight="1">
      <c r="B310" s="118" t="s">
        <v>176</v>
      </c>
      <c r="C310" s="119"/>
      <c r="D310" s="119"/>
      <c r="E310" s="119"/>
      <c r="F310" s="120"/>
    </row>
    <row r="311" spans="2:6" ht="18" outlineLevel="1">
      <c r="B311" s="121"/>
      <c r="C311" s="122"/>
      <c r="D311" s="122"/>
      <c r="E311" s="122"/>
      <c r="F311" s="123"/>
    </row>
    <row r="312" spans="2:6" ht="12.75" outlineLevel="1">
      <c r="B312" s="124"/>
      <c r="C312" s="125"/>
      <c r="D312" s="125"/>
      <c r="E312" s="125"/>
      <c r="F312" s="126"/>
    </row>
    <row r="313" spans="2:6" ht="18" customHeight="1" outlineLevel="1">
      <c r="B313" s="127" t="s">
        <v>177</v>
      </c>
      <c r="C313" s="128"/>
      <c r="D313" s="128"/>
      <c r="E313" s="128"/>
      <c r="F313" s="129"/>
    </row>
    <row r="314" spans="2:6" ht="18" outlineLevel="1">
      <c r="B314" s="130" t="str">
        <f>_xlfn.IFERROR("Team Number: "&amp;VLOOKUP("J2",$B$2:$F$54,3,FALSE),"")</f>
        <v>Team Number: </v>
      </c>
      <c r="C314" s="131"/>
      <c r="D314" s="131"/>
      <c r="E314" s="131"/>
      <c r="F314" s="132"/>
    </row>
    <row r="315" spans="2:6" ht="18.75" outlineLevel="1">
      <c r="B315" s="115">
        <f>_xlfn.IFERROR(VLOOKUP("J2",$B$2:$F$54,4,FALSE),"")</f>
      </c>
      <c r="C315" s="116"/>
      <c r="D315" s="116"/>
      <c r="E315" s="116"/>
      <c r="F315" s="117"/>
    </row>
    <row r="316" spans="2:6" ht="18.75" outlineLevel="1" thickBot="1">
      <c r="B316" s="63">
        <f>_xlfn.IFERROR(VLOOKUP("J2",$B$2:$F$54,5,FALSE),"")</f>
      </c>
      <c r="C316" s="64"/>
      <c r="D316" s="64"/>
      <c r="E316" s="64"/>
      <c r="F316" s="65"/>
    </row>
    <row r="317" spans="2:6" ht="13.5" thickBot="1">
      <c r="B317" s="62"/>
      <c r="C317" s="62"/>
      <c r="E317" s="62"/>
      <c r="F317" s="62"/>
    </row>
    <row r="318" spans="2:6" ht="20.25" customHeight="1">
      <c r="B318" s="118" t="s">
        <v>173</v>
      </c>
      <c r="C318" s="119"/>
      <c r="D318" s="119"/>
      <c r="E318" s="119"/>
      <c r="F318" s="120"/>
    </row>
    <row r="319" spans="2:6" ht="18" outlineLevel="1">
      <c r="B319" s="121"/>
      <c r="C319" s="122"/>
      <c r="D319" s="122"/>
      <c r="E319" s="122"/>
      <c r="F319" s="123"/>
    </row>
    <row r="320" spans="2:6" ht="29.25" customHeight="1" outlineLevel="1">
      <c r="B320" s="124"/>
      <c r="C320" s="125"/>
      <c r="D320" s="125"/>
      <c r="E320" s="125"/>
      <c r="F320" s="126"/>
    </row>
    <row r="321" spans="2:6" ht="18" customHeight="1" outlineLevel="1">
      <c r="B321" s="127" t="s">
        <v>178</v>
      </c>
      <c r="C321" s="128"/>
      <c r="D321" s="128"/>
      <c r="E321" s="128"/>
      <c r="F321" s="129"/>
    </row>
    <row r="322" spans="2:6" ht="18" outlineLevel="1">
      <c r="B322" s="130" t="str">
        <f>_xlfn.IFERROR("Team Number: "&amp;VLOOKUP("J1",$B$2:$F$54,3,FALSE),"")</f>
        <v>Team Number: </v>
      </c>
      <c r="C322" s="131"/>
      <c r="D322" s="131"/>
      <c r="E322" s="131"/>
      <c r="F322" s="132"/>
    </row>
    <row r="323" spans="2:6" ht="18.75" outlineLevel="1">
      <c r="B323" s="115">
        <f>_xlfn.IFERROR(VLOOKUP("J1",$B$2:$F$54,4,FALSE),"")</f>
      </c>
      <c r="C323" s="116"/>
      <c r="D323" s="116"/>
      <c r="E323" s="116"/>
      <c r="F323" s="117"/>
    </row>
    <row r="324" spans="2:6" ht="18.75" outlineLevel="1" thickBot="1">
      <c r="B324" s="63">
        <f>_xlfn.IFERROR(VLOOKUP("J1",$B$2:$F$54,5,FALSE),"")</f>
      </c>
      <c r="C324" s="64"/>
      <c r="D324" s="64"/>
      <c r="E324" s="64"/>
      <c r="F324" s="65"/>
    </row>
    <row r="325" spans="2:6" ht="13.5" thickBot="1">
      <c r="B325" s="62"/>
      <c r="C325" s="62"/>
      <c r="E325" s="62"/>
      <c r="F325" s="62"/>
    </row>
    <row r="326" spans="2:6" ht="20.25">
      <c r="B326" s="118" t="s">
        <v>225</v>
      </c>
      <c r="C326" s="119"/>
      <c r="D326" s="119"/>
      <c r="E326" s="119"/>
      <c r="F326" s="120"/>
    </row>
    <row r="327" spans="2:6" ht="169.5" customHeight="1" thickBot="1">
      <c r="B327" s="145" t="s">
        <v>188</v>
      </c>
      <c r="C327" s="146"/>
      <c r="D327" s="146"/>
      <c r="E327" s="146"/>
      <c r="F327" s="147"/>
    </row>
    <row r="328" spans="2:6" ht="13.5" thickBot="1">
      <c r="B328" s="62"/>
      <c r="C328" s="62"/>
      <c r="E328" s="62"/>
      <c r="F328" s="62"/>
    </row>
    <row r="329" spans="2:6" ht="20.25">
      <c r="B329" s="118" t="s">
        <v>102</v>
      </c>
      <c r="C329" s="119"/>
      <c r="D329" s="119"/>
      <c r="E329" s="119"/>
      <c r="F329" s="120"/>
    </row>
    <row r="330" spans="2:6" ht="18" outlineLevel="1">
      <c r="B330" s="121"/>
      <c r="C330" s="122"/>
      <c r="D330" s="122"/>
      <c r="E330" s="122"/>
      <c r="F330" s="123"/>
    </row>
    <row r="331" spans="2:6" ht="32.25" customHeight="1" outlineLevel="1">
      <c r="B331" s="124"/>
      <c r="C331" s="125"/>
      <c r="D331" s="125"/>
      <c r="E331" s="125"/>
      <c r="F331" s="126"/>
    </row>
    <row r="332" spans="2:6" ht="18" outlineLevel="1">
      <c r="B332" s="127" t="s">
        <v>221</v>
      </c>
      <c r="C332" s="128"/>
      <c r="D332" s="128"/>
      <c r="E332" s="128"/>
      <c r="F332" s="129"/>
    </row>
    <row r="333" spans="2:6" ht="18" outlineLevel="1">
      <c r="B333" s="130" t="str">
        <f>_xlfn.IFERROR("Team Number: "&amp;VLOOKUP("CH3",$B$2:$F$54,3,FALSE),"")</f>
        <v>Team Number: </v>
      </c>
      <c r="C333" s="131"/>
      <c r="D333" s="131"/>
      <c r="E333" s="131"/>
      <c r="F333" s="132"/>
    </row>
    <row r="334" spans="2:6" ht="18.75" outlineLevel="1">
      <c r="B334" s="115">
        <f>_xlfn.IFERROR(VLOOKUP("CH3",$B$2:$F$54,4,FALSE),"")</f>
      </c>
      <c r="C334" s="116"/>
      <c r="D334" s="116"/>
      <c r="E334" s="116"/>
      <c r="F334" s="117"/>
    </row>
    <row r="335" spans="2:6" ht="18.75" outlineLevel="1" thickBot="1">
      <c r="B335" s="63">
        <f>_xlfn.IFERROR(VLOOKUP("CH3",$B$2:$F$54,5,FALSE),"")</f>
      </c>
      <c r="C335" s="64"/>
      <c r="D335" s="64"/>
      <c r="E335" s="64"/>
      <c r="F335" s="65"/>
    </row>
    <row r="336" spans="2:6" ht="13.5" thickBot="1">
      <c r="B336" s="62"/>
      <c r="C336" s="62"/>
      <c r="E336" s="62"/>
      <c r="F336" s="62"/>
    </row>
    <row r="337" spans="2:6" ht="20.25" customHeight="1">
      <c r="B337" s="118" t="s">
        <v>101</v>
      </c>
      <c r="C337" s="119"/>
      <c r="D337" s="119"/>
      <c r="E337" s="119"/>
      <c r="F337" s="120"/>
    </row>
    <row r="338" spans="2:6" ht="18" outlineLevel="1">
      <c r="B338" s="121"/>
      <c r="C338" s="122"/>
      <c r="D338" s="122"/>
      <c r="E338" s="122"/>
      <c r="F338" s="123"/>
    </row>
    <row r="339" spans="2:6" ht="12.75" outlineLevel="1">
      <c r="B339" s="124"/>
      <c r="C339" s="125"/>
      <c r="D339" s="125"/>
      <c r="E339" s="125"/>
      <c r="F339" s="126"/>
    </row>
    <row r="340" spans="2:6" ht="18" customHeight="1" outlineLevel="1">
      <c r="B340" s="127" t="s">
        <v>222</v>
      </c>
      <c r="C340" s="128"/>
      <c r="D340" s="128"/>
      <c r="E340" s="128"/>
      <c r="F340" s="129"/>
    </row>
    <row r="341" spans="2:6" ht="18" outlineLevel="1">
      <c r="B341" s="130" t="str">
        <f>_xlfn.IFERROR("Team Number: "&amp;VLOOKUP("CH2",$B$2:$F$54,3,FALSE),"")</f>
        <v>Team Number: </v>
      </c>
      <c r="C341" s="131"/>
      <c r="D341" s="131"/>
      <c r="E341" s="131"/>
      <c r="F341" s="132"/>
    </row>
    <row r="342" spans="2:6" ht="18.75" outlineLevel="1">
      <c r="B342" s="115">
        <f>_xlfn.IFERROR(VLOOKUP("CH2",$B$2:$F$54,4,FALSE),"")</f>
      </c>
      <c r="C342" s="116"/>
      <c r="D342" s="116"/>
      <c r="E342" s="116"/>
      <c r="F342" s="117"/>
    </row>
    <row r="343" spans="2:6" ht="18.75" outlineLevel="1" thickBot="1">
      <c r="B343" s="63">
        <f>_xlfn.IFERROR(VLOOKUP("CH2",$B$2:$F$54,5,FALSE),"")</f>
      </c>
      <c r="C343" s="64"/>
      <c r="D343" s="64"/>
      <c r="E343" s="64"/>
      <c r="F343" s="65"/>
    </row>
    <row r="344" spans="2:6" ht="13.5" thickBot="1">
      <c r="B344" s="62"/>
      <c r="C344" s="62"/>
      <c r="E344" s="62"/>
      <c r="F344" s="62"/>
    </row>
    <row r="345" spans="2:6" ht="20.25">
      <c r="B345" s="118" t="s">
        <v>97</v>
      </c>
      <c r="C345" s="119"/>
      <c r="D345" s="119"/>
      <c r="E345" s="119"/>
      <c r="F345" s="120"/>
    </row>
    <row r="346" spans="2:6" ht="18">
      <c r="B346" s="121"/>
      <c r="C346" s="122"/>
      <c r="D346" s="122"/>
      <c r="E346" s="122"/>
      <c r="F346" s="123"/>
    </row>
    <row r="347" spans="2:6" ht="12.75">
      <c r="B347" s="124"/>
      <c r="C347" s="125"/>
      <c r="D347" s="125"/>
      <c r="E347" s="125"/>
      <c r="F347" s="126"/>
    </row>
    <row r="348" spans="2:6" ht="18">
      <c r="B348" s="127" t="s">
        <v>223</v>
      </c>
      <c r="C348" s="128"/>
      <c r="D348" s="128"/>
      <c r="E348" s="128"/>
      <c r="F348" s="129"/>
    </row>
    <row r="349" spans="2:6" ht="18">
      <c r="B349" s="130" t="str">
        <f>_xlfn.IFERROR("Team Number: "&amp;VLOOKUP("CH1",$B$2:$F$54,3,FALSE),"")</f>
        <v>Team Number: </v>
      </c>
      <c r="C349" s="131"/>
      <c r="D349" s="131"/>
      <c r="E349" s="131"/>
      <c r="F349" s="132"/>
    </row>
    <row r="350" spans="2:6" ht="18.75">
      <c r="B350" s="115">
        <f>_xlfn.IFERROR(VLOOKUP("CH1",$B$2:$F$54,4,FALSE),"")</f>
      </c>
      <c r="C350" s="116"/>
      <c r="D350" s="116"/>
      <c r="E350" s="116"/>
      <c r="F350" s="117"/>
    </row>
    <row r="351" spans="2:6" ht="18.75" thickBot="1">
      <c r="B351" s="63">
        <f>_xlfn.IFERROR(VLOOKUP("CH1",$B$2:$F$54,5,FALSE),"")</f>
      </c>
      <c r="C351" s="64"/>
      <c r="D351" s="64"/>
      <c r="E351" s="64"/>
      <c r="F351" s="65"/>
    </row>
    <row r="352" ht="13.5" thickBot="1"/>
    <row r="353" spans="2:6" ht="20.25">
      <c r="B353" s="118" t="s">
        <v>137</v>
      </c>
      <c r="C353" s="119"/>
      <c r="D353" s="119"/>
      <c r="E353" s="119"/>
      <c r="F353" s="120"/>
    </row>
    <row r="354" spans="2:6" ht="78.75" customHeight="1" outlineLevel="1">
      <c r="B354" s="121" t="s">
        <v>141</v>
      </c>
      <c r="C354" s="122"/>
      <c r="D354" s="122"/>
      <c r="E354" s="122"/>
      <c r="F354" s="123"/>
    </row>
    <row r="355" spans="2:6" ht="12.75" outlineLevel="1">
      <c r="B355" s="124"/>
      <c r="C355" s="125"/>
      <c r="D355" s="125"/>
      <c r="E355" s="125"/>
      <c r="F355" s="126"/>
    </row>
    <row r="356" spans="2:6" ht="18" outlineLevel="1">
      <c r="B356" s="127" t="s">
        <v>138</v>
      </c>
      <c r="C356" s="128"/>
      <c r="D356" s="128"/>
      <c r="E356" s="128"/>
      <c r="F356" s="129"/>
    </row>
    <row r="357" spans="2:6" ht="18" outlineLevel="1">
      <c r="B357" s="130" t="str">
        <f>_xlfn.IFERROR("Team Number: "&amp;VLOOKUP("ADV1",$B$45:$F$54,3,FALSE),"")</f>
        <v>Team Number: </v>
      </c>
      <c r="C357" s="131"/>
      <c r="D357" s="131"/>
      <c r="E357" s="131"/>
      <c r="F357" s="132"/>
    </row>
    <row r="358" spans="2:6" ht="18.75" outlineLevel="1">
      <c r="B358" s="115">
        <f>_xlfn.IFERROR(VLOOKUP("ADV1",$B$45:$F$54,4,FALSE),"")</f>
      </c>
      <c r="C358" s="116"/>
      <c r="D358" s="116"/>
      <c r="E358" s="116"/>
      <c r="F358" s="117"/>
    </row>
    <row r="359" spans="2:6" ht="18" outlineLevel="1">
      <c r="B359" s="70">
        <f>_xlfn.IFERROR(VLOOKUP("ADV1",$B$45:$F$54,5,FALSE),"")</f>
      </c>
      <c r="C359" s="69"/>
      <c r="D359" s="69"/>
      <c r="E359" s="69"/>
      <c r="F359" s="71"/>
    </row>
    <row r="360" spans="2:6" ht="18" outlineLevel="1">
      <c r="B360" s="133" t="str">
        <f>_xlfn.IFERROR("Team Number: "&amp;VLOOKUP("ADV2",$B$45:$F$54,3,FALSE),"")</f>
        <v>Team Number: </v>
      </c>
      <c r="C360" s="134"/>
      <c r="D360" s="134"/>
      <c r="E360" s="134"/>
      <c r="F360" s="135"/>
    </row>
    <row r="361" spans="2:6" ht="18.75" outlineLevel="1">
      <c r="B361" s="115">
        <f>_xlfn.IFERROR(VLOOKUP("ADV2",$B$45:$F$54,4,FALSE),"")</f>
      </c>
      <c r="C361" s="116"/>
      <c r="D361" s="116"/>
      <c r="E361" s="116"/>
      <c r="F361" s="117"/>
    </row>
    <row r="362" spans="2:6" ht="18" outlineLevel="1">
      <c r="B362" s="70">
        <f>_xlfn.IFERROR(VLOOKUP("ADV2",$B$45:$F$54,5,FALSE),"")</f>
      </c>
      <c r="C362" s="69"/>
      <c r="D362" s="69"/>
      <c r="E362" s="69"/>
      <c r="F362" s="71"/>
    </row>
    <row r="363" spans="2:6" ht="18" outlineLevel="1">
      <c r="B363" s="133" t="str">
        <f>_xlfn.IFERROR("Team Number: "&amp;VLOOKUP("ADV3",$B$45:$F$54,3,FALSE),"")</f>
        <v>Team Number: </v>
      </c>
      <c r="C363" s="134"/>
      <c r="D363" s="134"/>
      <c r="E363" s="134"/>
      <c r="F363" s="135"/>
    </row>
    <row r="364" spans="2:6" ht="18.75" outlineLevel="1">
      <c r="B364" s="115">
        <f>_xlfn.IFERROR(VLOOKUP("ADV3",$B$45:$F$54,4,FALSE),"")</f>
      </c>
      <c r="C364" s="116"/>
      <c r="D364" s="116"/>
      <c r="E364" s="116"/>
      <c r="F364" s="117"/>
    </row>
    <row r="365" spans="2:6" ht="18" outlineLevel="1">
      <c r="B365" s="70">
        <f>_xlfn.IFERROR(VLOOKUP("ADV3",$B$45:$F$54,5,FALSE),"")</f>
      </c>
      <c r="C365" s="69"/>
      <c r="D365" s="69"/>
      <c r="E365" s="69"/>
      <c r="F365" s="71"/>
    </row>
    <row r="366" spans="2:6" ht="18" outlineLevel="1">
      <c r="B366" s="133" t="str">
        <f>_xlfn.IFERROR("Team Number: "&amp;VLOOKUP("ADV4",$B$45:$F$54,3,FALSE),"")</f>
        <v>Team Number: </v>
      </c>
      <c r="C366" s="134"/>
      <c r="D366" s="134"/>
      <c r="E366" s="134"/>
      <c r="F366" s="135"/>
    </row>
    <row r="367" spans="2:6" ht="18.75" outlineLevel="1">
      <c r="B367" s="115">
        <f>_xlfn.IFERROR(VLOOKUP("ADV4",$B$45:$F$54,4,FALSE),"")</f>
      </c>
      <c r="C367" s="116"/>
      <c r="D367" s="116"/>
      <c r="E367" s="116"/>
      <c r="F367" s="117"/>
    </row>
    <row r="368" spans="2:6" ht="18" outlineLevel="1">
      <c r="B368" s="70">
        <f>_xlfn.IFERROR(VLOOKUP("ADV4",$B$45:$F$54,5,FALSE),"")</f>
      </c>
      <c r="C368" s="69"/>
      <c r="D368" s="69"/>
      <c r="E368" s="69"/>
      <c r="F368" s="71"/>
    </row>
    <row r="369" spans="2:6" ht="18" outlineLevel="1">
      <c r="B369" s="133" t="str">
        <f>_xlfn.IFERROR("Team Number: "&amp;VLOOKUP("ADV5",$B$45:$F$54,3,FALSE),"")</f>
        <v>Team Number: </v>
      </c>
      <c r="C369" s="134"/>
      <c r="D369" s="134"/>
      <c r="E369" s="134"/>
      <c r="F369" s="135"/>
    </row>
    <row r="370" spans="2:6" ht="18.75" outlineLevel="1">
      <c r="B370" s="115">
        <f>_xlfn.IFERROR(VLOOKUP("ADV5",$B$45:$F$54,4,FALSE),"")</f>
      </c>
      <c r="C370" s="116"/>
      <c r="D370" s="116"/>
      <c r="E370" s="116"/>
      <c r="F370" s="117"/>
    </row>
    <row r="371" spans="2:6" ht="18" outlineLevel="1">
      <c r="B371" s="70">
        <f>_xlfn.IFERROR(VLOOKUP("ADV5",$B$45:$F$54,5,FALSE),"")</f>
      </c>
      <c r="C371" s="69"/>
      <c r="D371" s="69"/>
      <c r="E371" s="69"/>
      <c r="F371" s="71"/>
    </row>
    <row r="372" spans="2:6" ht="18" outlineLevel="1">
      <c r="B372" s="133" t="str">
        <f>_xlfn.IFERROR("Team Number: "&amp;VLOOKUP("ADV6",$B$45:$F$54,3,FALSE),"")</f>
        <v>Team Number: </v>
      </c>
      <c r="C372" s="134"/>
      <c r="D372" s="134"/>
      <c r="E372" s="134"/>
      <c r="F372" s="135"/>
    </row>
    <row r="373" spans="2:6" ht="18.75" outlineLevel="1">
      <c r="B373" s="115">
        <f>_xlfn.IFERROR(VLOOKUP("ADV6",$B$45:$F$54,4,FALSE),"")</f>
      </c>
      <c r="C373" s="116"/>
      <c r="D373" s="116"/>
      <c r="E373" s="116"/>
      <c r="F373" s="117"/>
    </row>
    <row r="374" spans="2:6" ht="18" outlineLevel="1">
      <c r="B374" s="70">
        <f>_xlfn.IFERROR(VLOOKUP("ADV6",$B$45:$F$54,5,FALSE),"")</f>
      </c>
      <c r="C374" s="69"/>
      <c r="D374" s="69"/>
      <c r="E374" s="69"/>
      <c r="F374" s="71"/>
    </row>
    <row r="375" spans="2:6" ht="18" outlineLevel="1">
      <c r="B375" s="133" t="str">
        <f>_xlfn.IFERROR("Team Number: "&amp;VLOOKUP("ADV7",$B$45:$F$54,3,FALSE),"")</f>
        <v>Team Number: </v>
      </c>
      <c r="C375" s="134"/>
      <c r="D375" s="134"/>
      <c r="E375" s="134"/>
      <c r="F375" s="135"/>
    </row>
    <row r="376" spans="2:6" ht="18.75" outlineLevel="1">
      <c r="B376" s="115">
        <f>_xlfn.IFERROR(VLOOKUP("ADV7",$B$45:$F$54,4,FALSE),"")</f>
      </c>
      <c r="C376" s="116"/>
      <c r="D376" s="116"/>
      <c r="E376" s="116"/>
      <c r="F376" s="117"/>
    </row>
    <row r="377" spans="2:6" ht="18.75" outlineLevel="1" thickBot="1">
      <c r="B377" s="63">
        <f>_xlfn.IFERROR(VLOOKUP("ADV7",$B$45:$F$54,5,FALSE),"")</f>
      </c>
      <c r="C377" s="64"/>
      <c r="D377" s="64"/>
      <c r="E377" s="64"/>
      <c r="F377" s="65"/>
    </row>
    <row r="378" ht="13.5" outlineLevel="1" thickBot="1"/>
    <row r="379" spans="2:6" ht="18" outlineLevel="1">
      <c r="B379" s="136" t="s">
        <v>162</v>
      </c>
      <c r="C379" s="137"/>
      <c r="D379" s="137"/>
      <c r="E379" s="137"/>
      <c r="F379" s="138"/>
    </row>
    <row r="380" spans="2:6" ht="18" outlineLevel="1">
      <c r="B380" s="130" t="str">
        <f>_xlfn.IFERROR("Team Number: "&amp;VLOOKUP("ALT1",$B$45:$F$54,3,FALSE),"")</f>
        <v>Team Number: </v>
      </c>
      <c r="C380" s="131"/>
      <c r="D380" s="131"/>
      <c r="E380" s="131"/>
      <c r="F380" s="132"/>
    </row>
    <row r="381" spans="2:6" ht="18.75" outlineLevel="1">
      <c r="B381" s="115">
        <f>_xlfn.IFERROR(VLOOKUP("ALT1",$B$45:$F$54,4,FALSE),"")</f>
      </c>
      <c r="C381" s="116"/>
      <c r="D381" s="116"/>
      <c r="E381" s="116"/>
      <c r="F381" s="117"/>
    </row>
    <row r="382" spans="2:6" ht="18" outlineLevel="1">
      <c r="B382" s="70">
        <f>_xlfn.IFERROR(VLOOKUP("ALT1",$B$45:$F$54,5,FALSE),"")</f>
      </c>
      <c r="C382" s="69"/>
      <c r="D382" s="69"/>
      <c r="E382" s="69"/>
      <c r="F382" s="71"/>
    </row>
    <row r="383" spans="2:6" ht="18" outlineLevel="1">
      <c r="B383" s="133" t="str">
        <f>_xlfn.IFERROR("Team Number: "&amp;VLOOKUP("ALT2",$B$45:$F$54,3,FALSE),"")</f>
        <v>Team Number: </v>
      </c>
      <c r="C383" s="134"/>
      <c r="D383" s="134"/>
      <c r="E383" s="134"/>
      <c r="F383" s="135"/>
    </row>
    <row r="384" spans="2:6" ht="18.75" outlineLevel="1">
      <c r="B384" s="115">
        <f>_xlfn.IFERROR(VLOOKUP("ALT2",$B$45:$F$54,4,FALSE),"")</f>
      </c>
      <c r="C384" s="116"/>
      <c r="D384" s="116"/>
      <c r="E384" s="116"/>
      <c r="F384" s="117"/>
    </row>
    <row r="385" spans="2:6" ht="18.75" outlineLevel="1" thickBot="1">
      <c r="B385" s="63">
        <f>_xlfn.IFERROR(VLOOKUP("ALT2",$B$45:$F$54,5,FALSE),"")</f>
      </c>
      <c r="C385" s="64"/>
      <c r="D385" s="64"/>
      <c r="E385" s="64"/>
      <c r="F385" s="65"/>
    </row>
  </sheetData>
  <sheetProtection/>
  <mergeCells count="243">
    <mergeCell ref="B283:F283"/>
    <mergeCell ref="B270:F270"/>
    <mergeCell ref="B271:F271"/>
    <mergeCell ref="B272:F272"/>
    <mergeCell ref="B273:F273"/>
    <mergeCell ref="B274:F274"/>
    <mergeCell ref="B275:F275"/>
    <mergeCell ref="B56:F56"/>
    <mergeCell ref="B57:F57"/>
    <mergeCell ref="B58:F58"/>
    <mergeCell ref="B59:F59"/>
    <mergeCell ref="B62:F62"/>
    <mergeCell ref="B63:F63"/>
    <mergeCell ref="B64:F64"/>
    <mergeCell ref="B65:F65"/>
    <mergeCell ref="B66:F66"/>
    <mergeCell ref="B67:F67"/>
    <mergeCell ref="B70:F70"/>
    <mergeCell ref="B71:F71"/>
    <mergeCell ref="B72:F72"/>
    <mergeCell ref="B73:F73"/>
    <mergeCell ref="B74:F74"/>
    <mergeCell ref="B75:F75"/>
    <mergeCell ref="B78:F78"/>
    <mergeCell ref="B79:F79"/>
    <mergeCell ref="B112:F112"/>
    <mergeCell ref="B116:F116"/>
    <mergeCell ref="B80:F80"/>
    <mergeCell ref="B81:F81"/>
    <mergeCell ref="B82:F82"/>
    <mergeCell ref="B83:F83"/>
    <mergeCell ref="B86:F86"/>
    <mergeCell ref="B87:F87"/>
    <mergeCell ref="B105:F105"/>
    <mergeCell ref="B106:F106"/>
    <mergeCell ref="B107:F107"/>
    <mergeCell ref="B108:F108"/>
    <mergeCell ref="B109:F109"/>
    <mergeCell ref="B147:F147"/>
    <mergeCell ref="B131:F131"/>
    <mergeCell ref="B132:F132"/>
    <mergeCell ref="B133:F133"/>
    <mergeCell ref="B134:F134"/>
    <mergeCell ref="B144:F144"/>
    <mergeCell ref="B117:F117"/>
    <mergeCell ref="B194:F194"/>
    <mergeCell ref="B179:F179"/>
    <mergeCell ref="B155:F155"/>
    <mergeCell ref="B156:F156"/>
    <mergeCell ref="B90:F90"/>
    <mergeCell ref="B91:F91"/>
    <mergeCell ref="B92:F92"/>
    <mergeCell ref="B93:F93"/>
    <mergeCell ref="B115:F115"/>
    <mergeCell ref="B113:F113"/>
    <mergeCell ref="B174:F174"/>
    <mergeCell ref="B187:F187"/>
    <mergeCell ref="B190:F190"/>
    <mergeCell ref="B191:F191"/>
    <mergeCell ref="B192:F192"/>
    <mergeCell ref="B193:F193"/>
    <mergeCell ref="B166:F166"/>
    <mergeCell ref="B167:F167"/>
    <mergeCell ref="B168:F168"/>
    <mergeCell ref="B169:F169"/>
    <mergeCell ref="B214:F214"/>
    <mergeCell ref="B215:F215"/>
    <mergeCell ref="B175:F175"/>
    <mergeCell ref="B176:F176"/>
    <mergeCell ref="B177:F177"/>
    <mergeCell ref="B178:F178"/>
    <mergeCell ref="B302:F302"/>
    <mergeCell ref="B303:F303"/>
    <mergeCell ref="B222:F222"/>
    <mergeCell ref="B225:F225"/>
    <mergeCell ref="B226:F226"/>
    <mergeCell ref="B227:F227"/>
    <mergeCell ref="B278:F278"/>
    <mergeCell ref="B279:F279"/>
    <mergeCell ref="B280:F280"/>
    <mergeCell ref="B281:F281"/>
    <mergeCell ref="B304:F304"/>
    <mergeCell ref="B305:F305"/>
    <mergeCell ref="B306:F306"/>
    <mergeCell ref="B307:F307"/>
    <mergeCell ref="B310:F310"/>
    <mergeCell ref="B311:F311"/>
    <mergeCell ref="B312:F312"/>
    <mergeCell ref="B313:F313"/>
    <mergeCell ref="B314:F314"/>
    <mergeCell ref="B315:F315"/>
    <mergeCell ref="B318:F318"/>
    <mergeCell ref="B319:F319"/>
    <mergeCell ref="B320:F320"/>
    <mergeCell ref="B321:F321"/>
    <mergeCell ref="B322:F322"/>
    <mergeCell ref="B323:F323"/>
    <mergeCell ref="B345:F345"/>
    <mergeCell ref="B346:F346"/>
    <mergeCell ref="B332:F332"/>
    <mergeCell ref="B333:F333"/>
    <mergeCell ref="B334:F334"/>
    <mergeCell ref="B337:F337"/>
    <mergeCell ref="B347:F347"/>
    <mergeCell ref="B348:F348"/>
    <mergeCell ref="B349:F349"/>
    <mergeCell ref="B350:F350"/>
    <mergeCell ref="B353:F353"/>
    <mergeCell ref="B354:F354"/>
    <mergeCell ref="B355:F355"/>
    <mergeCell ref="B356:F356"/>
    <mergeCell ref="B357:F357"/>
    <mergeCell ref="B358:F358"/>
    <mergeCell ref="B360:F360"/>
    <mergeCell ref="B361:F361"/>
    <mergeCell ref="B380:F380"/>
    <mergeCell ref="B363:F363"/>
    <mergeCell ref="B364:F364"/>
    <mergeCell ref="B366:F366"/>
    <mergeCell ref="B367:F367"/>
    <mergeCell ref="B369:F369"/>
    <mergeCell ref="B370:F370"/>
    <mergeCell ref="B383:F383"/>
    <mergeCell ref="B384:F384"/>
    <mergeCell ref="B96:F96"/>
    <mergeCell ref="B97:F97"/>
    <mergeCell ref="B98:F98"/>
    <mergeCell ref="B99:F99"/>
    <mergeCell ref="B100:F100"/>
    <mergeCell ref="B101:F101"/>
    <mergeCell ref="B104:F104"/>
    <mergeCell ref="B372:F372"/>
    <mergeCell ref="B170:F170"/>
    <mergeCell ref="B171:F171"/>
    <mergeCell ref="B136:F136"/>
    <mergeCell ref="B163:F163"/>
    <mergeCell ref="B164:F164"/>
    <mergeCell ref="B381:F381"/>
    <mergeCell ref="B373:F373"/>
    <mergeCell ref="B375:F375"/>
    <mergeCell ref="B376:F376"/>
    <mergeCell ref="B379:F379"/>
    <mergeCell ref="B157:F157"/>
    <mergeCell ref="B158:F158"/>
    <mergeCell ref="B159:F159"/>
    <mergeCell ref="B160:F160"/>
    <mergeCell ref="B123:F123"/>
    <mergeCell ref="B124:F124"/>
    <mergeCell ref="B125:F125"/>
    <mergeCell ref="B126:F126"/>
    <mergeCell ref="B127:F127"/>
    <mergeCell ref="B128:F128"/>
    <mergeCell ref="B151:F151"/>
    <mergeCell ref="B152:F152"/>
    <mergeCell ref="B139:F139"/>
    <mergeCell ref="B140:F140"/>
    <mergeCell ref="B141:F141"/>
    <mergeCell ref="B148:F148"/>
    <mergeCell ref="B149:F149"/>
    <mergeCell ref="B150:F150"/>
    <mergeCell ref="B118:F118"/>
    <mergeCell ref="B119:F119"/>
    <mergeCell ref="B120:F120"/>
    <mergeCell ref="B142:F142"/>
    <mergeCell ref="B143:F143"/>
    <mergeCell ref="B135:F135"/>
    <mergeCell ref="B228:F228"/>
    <mergeCell ref="B182:F182"/>
    <mergeCell ref="B183:F183"/>
    <mergeCell ref="B184:F184"/>
    <mergeCell ref="B185:F185"/>
    <mergeCell ref="B186:F186"/>
    <mergeCell ref="B203:F203"/>
    <mergeCell ref="B206:F206"/>
    <mergeCell ref="B207:F207"/>
    <mergeCell ref="B208:F208"/>
    <mergeCell ref="B221:F221"/>
    <mergeCell ref="B209:F209"/>
    <mergeCell ref="B210:F210"/>
    <mergeCell ref="B195:F195"/>
    <mergeCell ref="B198:F198"/>
    <mergeCell ref="B199:F199"/>
    <mergeCell ref="B200:F200"/>
    <mergeCell ref="B201:F201"/>
    <mergeCell ref="B202:F202"/>
    <mergeCell ref="B229:F229"/>
    <mergeCell ref="B230:F230"/>
    <mergeCell ref="B233:F233"/>
    <mergeCell ref="B234:F234"/>
    <mergeCell ref="B235:F235"/>
    <mergeCell ref="B211:F211"/>
    <mergeCell ref="B217:F217"/>
    <mergeCell ref="B218:F218"/>
    <mergeCell ref="B219:F219"/>
    <mergeCell ref="B220:F220"/>
    <mergeCell ref="B236:F236"/>
    <mergeCell ref="B237:F237"/>
    <mergeCell ref="B238:F238"/>
    <mergeCell ref="B241:F241"/>
    <mergeCell ref="B242:F242"/>
    <mergeCell ref="B243:F243"/>
    <mergeCell ref="B244:F244"/>
    <mergeCell ref="B245:F245"/>
    <mergeCell ref="B246:F246"/>
    <mergeCell ref="B249:F249"/>
    <mergeCell ref="B250:F250"/>
    <mergeCell ref="B251:F251"/>
    <mergeCell ref="B252:F252"/>
    <mergeCell ref="B253:F253"/>
    <mergeCell ref="B254:F254"/>
    <mergeCell ref="B257:F257"/>
    <mergeCell ref="B258:F258"/>
    <mergeCell ref="B259:F259"/>
    <mergeCell ref="B294:F294"/>
    <mergeCell ref="B295:F295"/>
    <mergeCell ref="B296:F296"/>
    <mergeCell ref="B260:F260"/>
    <mergeCell ref="B261:F261"/>
    <mergeCell ref="B262:F262"/>
    <mergeCell ref="B266:F266"/>
    <mergeCell ref="B267:F267"/>
    <mergeCell ref="B288:F288"/>
    <mergeCell ref="B282:F282"/>
    <mergeCell ref="B342:F342"/>
    <mergeCell ref="B286:F286"/>
    <mergeCell ref="B287:F287"/>
    <mergeCell ref="B329:F329"/>
    <mergeCell ref="B330:F330"/>
    <mergeCell ref="B297:F297"/>
    <mergeCell ref="B298:F298"/>
    <mergeCell ref="B299:F299"/>
    <mergeCell ref="B326:F326"/>
    <mergeCell ref="B327:F327"/>
    <mergeCell ref="B88:F88"/>
    <mergeCell ref="B89:F89"/>
    <mergeCell ref="B338:F338"/>
    <mergeCell ref="B339:F339"/>
    <mergeCell ref="B340:F340"/>
    <mergeCell ref="B341:F341"/>
    <mergeCell ref="B331:F331"/>
    <mergeCell ref="B289:F289"/>
    <mergeCell ref="B290:F290"/>
    <mergeCell ref="B291:F291"/>
  </mergeCells>
  <conditionalFormatting sqref="B34:F38 D39:F39 B39:C42 B53:F54 B44:F51 B24:F29 B17:F22 B2:F4 B6:F15">
    <cfRule type="notContainsBlanks" priority="9" dxfId="45">
      <formula>LEN(TRIM(B2))&gt;0</formula>
    </cfRule>
  </conditionalFormatting>
  <conditionalFormatting sqref="B32:F33">
    <cfRule type="notContainsBlanks" priority="1" dxfId="45">
      <formula>LEN(TRIM(B32))&gt;0</formula>
    </cfRule>
  </conditionalFormatting>
  <printOptions horizontalCentered="1"/>
  <pageMargins left="0.25" right="0.25" top="0.75" bottom="0.75" header="0.3" footer="0.3"/>
  <pageSetup blackAndWhite="1" fitToHeight="0" fitToWidth="1" horizontalDpi="600" verticalDpi="600" orientation="landscape" r:id="rId2"/>
  <headerFooter scaleWithDoc="0">
    <oddHeader>&amp;L&amp;A&amp;R&amp;D</oddHeader>
    <oddFooter>&amp;L&amp;F&amp;RPage &amp;P of &amp;N Pages</oddFooter>
  </headerFooter>
  <rowBreaks count="9" manualBreakCount="9">
    <brk id="30" max="255" man="1"/>
    <brk id="55" max="255" man="1"/>
    <brk id="85" max="255" man="1"/>
    <brk id="111" max="255" man="1"/>
    <brk id="162" max="255" man="1"/>
    <brk id="213" max="255" man="1"/>
    <brk id="265" max="255" man="1"/>
    <brk id="325" max="255" man="1"/>
    <brk id="352" max="255" man="1"/>
  </rowBreaks>
  <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zoomScale="130" zoomScaleNormal="130" zoomScalePageLayoutView="0" workbookViewId="0" topLeftCell="A61">
      <selection activeCell="L18" sqref="L18"/>
    </sheetView>
  </sheetViews>
  <sheetFormatPr defaultColWidth="9.140625" defaultRowHeight="12.75"/>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5"/>
  <dimension ref="B26:B26"/>
  <sheetViews>
    <sheetView showGridLines="0" showRowColHeaders="0" zoomScalePageLayoutView="0" workbookViewId="0" topLeftCell="A1">
      <selection activeCell="E46" sqref="E46"/>
    </sheetView>
  </sheetViews>
  <sheetFormatPr defaultColWidth="9.140625" defaultRowHeight="12.75"/>
  <sheetData>
    <row r="26" ht="12.75">
      <c r="B26" s="46" t="s">
        <v>48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FIRST LEGO League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FLL Judging Software - Robot Design Template</dc:title>
  <dc:subject/>
  <dc:creator>William Aucoin</dc:creator>
  <cp:keywords/>
  <dc:description/>
  <cp:lastModifiedBy>Karen Berger</cp:lastModifiedBy>
  <cp:lastPrinted>2014-10-28T23:54:01Z</cp:lastPrinted>
  <dcterms:created xsi:type="dcterms:W3CDTF">2006-08-25T18:25:49Z</dcterms:created>
  <dcterms:modified xsi:type="dcterms:W3CDTF">2016-09-02T13:49:33Z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